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20"/>
  <workbookPr defaultThemeVersion="166925"/>
  <mc:AlternateContent xmlns:mc="http://schemas.openxmlformats.org/markup-compatibility/2006">
    <mc:Choice Requires="x15">
      <x15ac:absPath xmlns:x15ac="http://schemas.microsoft.com/office/spreadsheetml/2010/11/ac" url="/Users/eli-levine-4/Desktop/"/>
    </mc:Choice>
  </mc:AlternateContent>
  <xr:revisionPtr revIDLastSave="0" documentId="13_ncr:1_{0E4866C7-BAAA-9747-8B64-A6327FB976E1}" xr6:coauthVersionLast="47" xr6:coauthVersionMax="48" xr10:uidLastSave="{00000000-0000-0000-0000-000000000000}"/>
  <bookViews>
    <workbookView xWindow="86600" yWindow="10980" windowWidth="38400" windowHeight="21100" xr2:uid="{00000000-000D-0000-FFFF-FFFF00000000}"/>
  </bookViews>
  <sheets>
    <sheet name="DCF Analysis" sheetId="1" r:id="rId1"/>
    <sheet name="Graphs"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4" i="1" l="1"/>
  <c r="I25" i="1" l="1" a="1"/>
  <c r="I25" i="1" s="1"/>
  <c r="I24" i="1" a="1"/>
  <c r="I24" i="1" s="1"/>
  <c r="G122" i="1" s="1"/>
  <c r="I23" i="1" a="1"/>
  <c r="I23" i="1" s="1"/>
  <c r="H20" i="1"/>
  <c r="I19" i="1" a="1"/>
  <c r="I19" i="1" s="1"/>
  <c r="H19" i="1"/>
  <c r="K57" i="1"/>
  <c r="F81" i="1"/>
  <c r="F80" i="1"/>
  <c r="J66" i="1"/>
  <c r="I66" i="1"/>
  <c r="H66" i="1"/>
  <c r="G66" i="1"/>
  <c r="F66" i="1"/>
  <c r="J64" i="1"/>
  <c r="I64" i="1"/>
  <c r="H64" i="1"/>
  <c r="G64" i="1"/>
  <c r="F64" i="1"/>
  <c r="J57" i="1"/>
  <c r="I57" i="1"/>
  <c r="H57" i="1"/>
  <c r="G57" i="1"/>
  <c r="F57" i="1"/>
  <c r="J50" i="1"/>
  <c r="I50" i="1"/>
  <c r="H50" i="1"/>
  <c r="G50" i="1"/>
  <c r="F50" i="1"/>
  <c r="J44" i="1"/>
  <c r="I44" i="1"/>
  <c r="H44" i="1"/>
  <c r="G44" i="1"/>
  <c r="F44" i="1"/>
  <c r="J42" i="1"/>
  <c r="I42" i="1"/>
  <c r="H42" i="1"/>
  <c r="H46" i="1" s="1"/>
  <c r="G42" i="1"/>
  <c r="G46" i="1" s="1"/>
  <c r="F42" i="1"/>
  <c r="J40" i="1"/>
  <c r="J46" i="1" s="1"/>
  <c r="I40" i="1"/>
  <c r="I46" i="1" s="1"/>
  <c r="H40" i="1"/>
  <c r="G40" i="1"/>
  <c r="F40" i="1"/>
  <c r="F46" i="1" s="1"/>
  <c r="J37" i="1"/>
  <c r="I37" i="1"/>
  <c r="H37" i="1"/>
  <c r="G37" i="1"/>
  <c r="F37" i="1"/>
  <c r="F68" i="1"/>
  <c r="G68" i="1"/>
  <c r="H68" i="1"/>
  <c r="I68" i="1"/>
  <c r="J68" i="1"/>
  <c r="F69" i="1"/>
  <c r="G70" i="1" s="1"/>
  <c r="G69" i="1"/>
  <c r="H69" i="1"/>
  <c r="I69" i="1"/>
  <c r="J69" i="1"/>
  <c r="H70" i="1"/>
  <c r="I70" i="1"/>
  <c r="J70" i="1"/>
  <c r="H71" i="1"/>
  <c r="I71" i="1"/>
  <c r="I72" i="1" s="1"/>
  <c r="J71" i="1"/>
  <c r="J72" i="1" s="1"/>
  <c r="F72" i="1"/>
  <c r="E80" i="1"/>
  <c r="E120" i="1" s="1"/>
  <c r="E82" i="1"/>
  <c r="F82" i="1"/>
  <c r="F91" i="1" s="1"/>
  <c r="F84" i="1"/>
  <c r="E97" i="1"/>
  <c r="G103" i="1"/>
  <c r="H103" i="1"/>
  <c r="I103" i="1"/>
  <c r="J103" i="1"/>
  <c r="H104" i="1"/>
  <c r="I104" i="1" s="1"/>
  <c r="J104" i="1" s="1"/>
  <c r="G117" i="1"/>
  <c r="E122" i="1"/>
  <c r="E126" i="1"/>
  <c r="G126" i="1" a="1"/>
  <c r="G126" i="1" s="1"/>
  <c r="I48" i="1" l="1"/>
  <c r="I47" i="1"/>
  <c r="I52" i="1"/>
  <c r="J52" i="1"/>
  <c r="J48" i="1"/>
  <c r="J47" i="1"/>
  <c r="G52" i="1"/>
  <c r="G48" i="1"/>
  <c r="G47" i="1"/>
  <c r="H52" i="1"/>
  <c r="H48" i="1"/>
  <c r="H47" i="1"/>
  <c r="F47" i="1"/>
  <c r="F48" i="1"/>
  <c r="F52" i="1"/>
  <c r="G71" i="1"/>
  <c r="F70" i="1"/>
  <c r="F92" i="1"/>
  <c r="D12" i="2"/>
  <c r="D13" i="2"/>
  <c r="D14" i="2"/>
  <c r="D15" i="2"/>
  <c r="D18" i="2"/>
  <c r="H15" i="2"/>
  <c r="G15" i="2"/>
  <c r="F15" i="2"/>
  <c r="E15" i="2"/>
  <c r="H14" i="2"/>
  <c r="G14" i="2"/>
  <c r="F14" i="2"/>
  <c r="E14" i="2"/>
  <c r="H13" i="2"/>
  <c r="G13" i="2"/>
  <c r="F13" i="2"/>
  <c r="E13" i="2"/>
  <c r="H12" i="2"/>
  <c r="H18" i="2" s="1"/>
  <c r="G12" i="2"/>
  <c r="G18" i="2" s="1"/>
  <c r="F12" i="2"/>
  <c r="F18" i="2" s="1"/>
  <c r="E12" i="2"/>
  <c r="E18" i="2" s="1"/>
  <c r="C21" i="2"/>
  <c r="C20" i="2"/>
  <c r="C19" i="2"/>
  <c r="C15" i="2"/>
  <c r="C14" i="2"/>
  <c r="C13" i="2"/>
  <c r="C12" i="2"/>
  <c r="C18" i="2" s="1"/>
  <c r="F29" i="1"/>
  <c r="D108" i="1"/>
  <c r="E108" i="1" s="1"/>
  <c r="K104" i="1"/>
  <c r="L104" i="1" s="1"/>
  <c r="M104" i="1" s="1"/>
  <c r="N104" i="1" s="1"/>
  <c r="H102" i="1" l="1"/>
  <c r="J19" i="1"/>
  <c r="I22" i="1" s="1"/>
  <c r="F60" i="1"/>
  <c r="F61" i="1" s="1"/>
  <c r="F54" i="1"/>
  <c r="F55" i="1" s="1"/>
  <c r="F58" i="1"/>
  <c r="F53" i="1"/>
  <c r="H54" i="1"/>
  <c r="H58" i="1"/>
  <c r="H60" i="1"/>
  <c r="H61" i="1" s="1"/>
  <c r="H53" i="1"/>
  <c r="G53" i="1"/>
  <c r="G54" i="1"/>
  <c r="G55" i="1" s="1"/>
  <c r="G60" i="1"/>
  <c r="G61" i="1" s="1"/>
  <c r="G58" i="1"/>
  <c r="J54" i="1"/>
  <c r="J55" i="1" s="1"/>
  <c r="J58" i="1"/>
  <c r="J53" i="1"/>
  <c r="J60" i="1"/>
  <c r="J61" i="1" s="1"/>
  <c r="I60" i="1"/>
  <c r="I61" i="1" s="1"/>
  <c r="I54" i="1"/>
  <c r="I58" i="1"/>
  <c r="I53" i="1"/>
  <c r="I74" i="1"/>
  <c r="H72" i="1"/>
  <c r="G72" i="1"/>
  <c r="J102" i="1"/>
  <c r="G102" i="1"/>
  <c r="I102" i="1"/>
  <c r="H74" i="1"/>
  <c r="J74" i="1"/>
  <c r="O104" i="1"/>
  <c r="H55" i="1" l="1"/>
  <c r="I55" i="1"/>
  <c r="J75" i="1"/>
  <c r="G105" i="1"/>
  <c r="G74" i="1"/>
  <c r="F74" i="1"/>
  <c r="F75" i="1" s="1"/>
  <c r="H75" i="1"/>
  <c r="I75" i="1"/>
  <c r="P104" i="1"/>
  <c r="Q104" i="1" s="1"/>
  <c r="R104" i="1" s="1"/>
  <c r="S104" i="1" s="1"/>
  <c r="T104" i="1" s="1"/>
  <c r="G75" i="1" l="1"/>
  <c r="U104" i="1"/>
  <c r="L64" i="1"/>
  <c r="K68" i="1"/>
  <c r="L67" i="1" s="1"/>
  <c r="L68" i="1" s="1"/>
  <c r="Y64" i="1"/>
  <c r="X64" i="1"/>
  <c r="W64" i="1"/>
  <c r="V64" i="1"/>
  <c r="U64" i="1"/>
  <c r="T64" i="1"/>
  <c r="S64" i="1"/>
  <c r="R64" i="1"/>
  <c r="Q64" i="1"/>
  <c r="P64" i="1"/>
  <c r="O64" i="1"/>
  <c r="N64" i="1"/>
  <c r="M64" i="1"/>
  <c r="K50" i="1"/>
  <c r="L49" i="1" s="1"/>
  <c r="L50" i="1" s="1"/>
  <c r="K40" i="1"/>
  <c r="L39" i="1" s="1"/>
  <c r="K42" i="1" l="1"/>
  <c r="L41" i="1" s="1"/>
  <c r="L42" i="1" s="1"/>
  <c r="L56" i="1"/>
  <c r="M56" i="1" s="1"/>
  <c r="M57" i="1" s="1"/>
  <c r="L40" i="1"/>
  <c r="I13" i="2"/>
  <c r="K64" i="1"/>
  <c r="K66" i="1"/>
  <c r="L65" i="1" s="1"/>
  <c r="L66" i="1" s="1"/>
  <c r="K44" i="1"/>
  <c r="L43" i="1" s="1"/>
  <c r="K37" i="1"/>
  <c r="L36" i="1" s="1"/>
  <c r="M67" i="1"/>
  <c r="M49" i="1"/>
  <c r="M41" i="1"/>
  <c r="M39" i="1"/>
  <c r="L57" i="1" l="1"/>
  <c r="N56" i="1"/>
  <c r="N57" i="1" s="1"/>
  <c r="I14" i="2"/>
  <c r="L37" i="1"/>
  <c r="I12" i="2"/>
  <c r="I18" i="2" s="1"/>
  <c r="M65" i="1"/>
  <c r="M66" i="1" s="1"/>
  <c r="N39" i="1"/>
  <c r="J13" i="2"/>
  <c r="L44" i="1"/>
  <c r="I15" i="2"/>
  <c r="N41" i="1"/>
  <c r="J14" i="2"/>
  <c r="M43" i="1"/>
  <c r="M36" i="1"/>
  <c r="J12" i="2" s="1"/>
  <c r="J18" i="2" s="1"/>
  <c r="M68" i="1"/>
  <c r="N67" i="1"/>
  <c r="N49" i="1"/>
  <c r="M50" i="1"/>
  <c r="M42" i="1"/>
  <c r="M40" i="1"/>
  <c r="M69" i="1"/>
  <c r="L69" i="1"/>
  <c r="L59" i="1"/>
  <c r="F93" i="1" s="1"/>
  <c r="L46" i="1"/>
  <c r="I19" i="2" s="1"/>
  <c r="H19" i="2"/>
  <c r="G19" i="2"/>
  <c r="F19" i="2"/>
  <c r="E19" i="2"/>
  <c r="D19" i="2"/>
  <c r="G30" i="1"/>
  <c r="E8" i="2" s="1"/>
  <c r="O56" i="1" l="1"/>
  <c r="N65" i="1"/>
  <c r="N69" i="1" s="1"/>
  <c r="N71" i="1" s="1"/>
  <c r="F98" i="1"/>
  <c r="G106" i="1"/>
  <c r="G107" i="1" s="1"/>
  <c r="H106" i="1"/>
  <c r="I106" i="1"/>
  <c r="J106" i="1"/>
  <c r="L71" i="1"/>
  <c r="M71" i="1"/>
  <c r="M72" i="1" s="1"/>
  <c r="N43" i="1"/>
  <c r="N44" i="1" s="1"/>
  <c r="J15" i="2"/>
  <c r="O39" i="1"/>
  <c r="K13" i="2"/>
  <c r="L72" i="1"/>
  <c r="M46" i="1"/>
  <c r="M47" i="1" s="1"/>
  <c r="O41" i="1"/>
  <c r="K14" i="2"/>
  <c r="M44" i="1"/>
  <c r="L47" i="1"/>
  <c r="N36" i="1"/>
  <c r="K12" i="2" s="1"/>
  <c r="K18" i="2" s="1"/>
  <c r="M37" i="1"/>
  <c r="D20" i="2"/>
  <c r="G20" i="2"/>
  <c r="M59" i="1"/>
  <c r="N59" i="1" s="1"/>
  <c r="O59" i="1" s="1"/>
  <c r="P59" i="1" s="1"/>
  <c r="Q59" i="1" s="1"/>
  <c r="R59" i="1" s="1"/>
  <c r="H20" i="2"/>
  <c r="G29" i="1"/>
  <c r="N68" i="1"/>
  <c r="O67" i="1"/>
  <c r="M70" i="1"/>
  <c r="N66" i="1"/>
  <c r="O65" i="1"/>
  <c r="L70" i="1"/>
  <c r="N70" i="1"/>
  <c r="P56" i="1"/>
  <c r="O57" i="1"/>
  <c r="O49" i="1"/>
  <c r="N50" i="1"/>
  <c r="N42" i="1"/>
  <c r="N40" i="1"/>
  <c r="L52" i="1"/>
  <c r="I20" i="2" s="1"/>
  <c r="H30" i="1"/>
  <c r="G21" i="2"/>
  <c r="L48" i="1"/>
  <c r="P41" i="1" l="1"/>
  <c r="L14" i="2"/>
  <c r="O43" i="1"/>
  <c r="K15" i="2"/>
  <c r="Q106" i="1"/>
  <c r="R106" i="1"/>
  <c r="S106" i="1"/>
  <c r="T106" i="1"/>
  <c r="U106" i="1"/>
  <c r="P39" i="1"/>
  <c r="L13" i="2"/>
  <c r="E20" i="2"/>
  <c r="M52" i="1"/>
  <c r="J19" i="2"/>
  <c r="I30" i="1"/>
  <c r="I29" i="1" s="1"/>
  <c r="F8" i="2"/>
  <c r="K72" i="1"/>
  <c r="F20" i="2"/>
  <c r="M48" i="1"/>
  <c r="N72" i="1"/>
  <c r="E7" i="2"/>
  <c r="O36" i="1"/>
  <c r="L12" i="2" s="1"/>
  <c r="L18" i="2" s="1"/>
  <c r="N37" i="1"/>
  <c r="L106" i="1"/>
  <c r="M106" i="1"/>
  <c r="K106" i="1"/>
  <c r="N106" i="1"/>
  <c r="O106" i="1"/>
  <c r="P106" i="1"/>
  <c r="G110" i="1" s="1"/>
  <c r="N46" i="1"/>
  <c r="K70" i="1"/>
  <c r="F21" i="2"/>
  <c r="K47" i="1"/>
  <c r="P67" i="1"/>
  <c r="O68" i="1"/>
  <c r="O66" i="1"/>
  <c r="P65" i="1"/>
  <c r="O69" i="1"/>
  <c r="Q56" i="1"/>
  <c r="P57" i="1"/>
  <c r="P49" i="1"/>
  <c r="O50" i="1"/>
  <c r="O44" i="1"/>
  <c r="O42" i="1"/>
  <c r="O40" i="1"/>
  <c r="L54" i="1"/>
  <c r="L53" i="1"/>
  <c r="L60" i="1"/>
  <c r="L61" i="1" s="1"/>
  <c r="L58" i="1"/>
  <c r="S59" i="1"/>
  <c r="H29" i="1"/>
  <c r="O70" i="1" l="1"/>
  <c r="O71" i="1"/>
  <c r="O72" i="1" s="1"/>
  <c r="M54" i="1"/>
  <c r="M55" i="1" s="1"/>
  <c r="J20" i="2"/>
  <c r="M58" i="1"/>
  <c r="M60" i="1"/>
  <c r="M61" i="1" s="1"/>
  <c r="M53" i="1"/>
  <c r="J30" i="1"/>
  <c r="G8" i="2"/>
  <c r="Q39" i="1"/>
  <c r="M13" i="2"/>
  <c r="N52" i="1"/>
  <c r="N60" i="1" s="1"/>
  <c r="N61" i="1" s="1"/>
  <c r="K19" i="2"/>
  <c r="D21" i="2"/>
  <c r="P43" i="1"/>
  <c r="P44" i="1" s="1"/>
  <c r="L15" i="2"/>
  <c r="H21" i="2"/>
  <c r="M74" i="1"/>
  <c r="Q41" i="1"/>
  <c r="M14" i="2"/>
  <c r="G7" i="2"/>
  <c r="F7" i="2"/>
  <c r="O46" i="1"/>
  <c r="P36" i="1"/>
  <c r="M12" i="2" s="1"/>
  <c r="M18" i="2" s="1"/>
  <c r="O37" i="1"/>
  <c r="N47" i="1"/>
  <c r="L55" i="1"/>
  <c r="N48" i="1"/>
  <c r="K53" i="1"/>
  <c r="P68" i="1"/>
  <c r="Q67" i="1"/>
  <c r="Q65" i="1"/>
  <c r="P66" i="1"/>
  <c r="P69" i="1"/>
  <c r="R56" i="1"/>
  <c r="Q57" i="1"/>
  <c r="Q49" i="1"/>
  <c r="P50" i="1"/>
  <c r="P42" i="1"/>
  <c r="P40" i="1"/>
  <c r="L74" i="1"/>
  <c r="H105" i="1" s="1"/>
  <c r="H107" i="1" s="1"/>
  <c r="T59" i="1"/>
  <c r="L19" i="2" l="1"/>
  <c r="F97" i="1"/>
  <c r="F99" i="1" s="1"/>
  <c r="G109" i="1" s="1"/>
  <c r="G111" i="1" s="1"/>
  <c r="J21" i="2"/>
  <c r="I105" i="1"/>
  <c r="I107" i="1" s="1"/>
  <c r="N58" i="1"/>
  <c r="N54" i="1"/>
  <c r="N55" i="1" s="1"/>
  <c r="N53" i="1"/>
  <c r="O52" i="1"/>
  <c r="L20" i="2" s="1"/>
  <c r="P70" i="1"/>
  <c r="P71" i="1"/>
  <c r="P72" i="1" s="1"/>
  <c r="R39" i="1"/>
  <c r="N13" i="2"/>
  <c r="R41" i="1"/>
  <c r="N14" i="2"/>
  <c r="H8" i="2"/>
  <c r="L30" i="1"/>
  <c r="J29" i="1"/>
  <c r="H7" i="2" s="1"/>
  <c r="Q43" i="1"/>
  <c r="M15" i="2"/>
  <c r="E21" i="2"/>
  <c r="L75" i="1"/>
  <c r="I21" i="2"/>
  <c r="O48" i="1"/>
  <c r="O47" i="1"/>
  <c r="N74" i="1"/>
  <c r="J105" i="1" s="1"/>
  <c r="J107" i="1" s="1"/>
  <c r="K20" i="2"/>
  <c r="Q36" i="1"/>
  <c r="N12" i="2" s="1"/>
  <c r="N18" i="2" s="1"/>
  <c r="P37" i="1"/>
  <c r="P46" i="1"/>
  <c r="M19" i="2" s="1"/>
  <c r="K55" i="1"/>
  <c r="Q68" i="1"/>
  <c r="R67" i="1"/>
  <c r="Q66" i="1"/>
  <c r="R65" i="1"/>
  <c r="Q69" i="1"/>
  <c r="R57" i="1"/>
  <c r="S56" i="1"/>
  <c r="R49" i="1"/>
  <c r="Q50" i="1"/>
  <c r="M75" i="1"/>
  <c r="Q42" i="1"/>
  <c r="Q40" i="1"/>
  <c r="O54" i="1"/>
  <c r="O55" i="1" s="1"/>
  <c r="O58" i="1"/>
  <c r="O60" i="1"/>
  <c r="O61" i="1" s="1"/>
  <c r="O53" i="1"/>
  <c r="O74" i="1"/>
  <c r="U59" i="1"/>
  <c r="K75" i="1" l="1"/>
  <c r="P47" i="1"/>
  <c r="P48" i="1"/>
  <c r="P52" i="1"/>
  <c r="M20" i="2" s="1"/>
  <c r="L29" i="1"/>
  <c r="I7" i="2" s="1"/>
  <c r="I8" i="2"/>
  <c r="M30" i="1"/>
  <c r="R43" i="1"/>
  <c r="R44" i="1" s="1"/>
  <c r="N15" i="2"/>
  <c r="S39" i="1"/>
  <c r="O13" i="2"/>
  <c r="Q44" i="1"/>
  <c r="O75" i="1"/>
  <c r="L21" i="2"/>
  <c r="S41" i="1"/>
  <c r="O14" i="2"/>
  <c r="K21" i="2"/>
  <c r="N75" i="1"/>
  <c r="Q70" i="1"/>
  <c r="Q71" i="1"/>
  <c r="Q72" i="1" s="1"/>
  <c r="R36" i="1"/>
  <c r="O12" i="2" s="1"/>
  <c r="O18" i="2" s="1"/>
  <c r="Q37" i="1"/>
  <c r="R68" i="1"/>
  <c r="S67" i="1"/>
  <c r="R66" i="1"/>
  <c r="S65" i="1"/>
  <c r="R69" i="1"/>
  <c r="S57" i="1"/>
  <c r="T56" i="1"/>
  <c r="S49" i="1"/>
  <c r="R50" i="1"/>
  <c r="Q46" i="1"/>
  <c r="R42" i="1"/>
  <c r="R40" i="1"/>
  <c r="P58" i="1"/>
  <c r="V59" i="1"/>
  <c r="P54" i="1" l="1"/>
  <c r="P55" i="1" s="1"/>
  <c r="P53" i="1"/>
  <c r="P74" i="1"/>
  <c r="P60" i="1"/>
  <c r="P61" i="1" s="1"/>
  <c r="R46" i="1"/>
  <c r="O19" i="2" s="1"/>
  <c r="T41" i="1"/>
  <c r="P14" i="2"/>
  <c r="R70" i="1"/>
  <c r="R71" i="1"/>
  <c r="R72" i="1" s="1"/>
  <c r="P75" i="1"/>
  <c r="M21" i="2"/>
  <c r="Q52" i="1"/>
  <c r="N20" i="2" s="1"/>
  <c r="N19" i="2"/>
  <c r="S43" i="1"/>
  <c r="O15" i="2"/>
  <c r="J8" i="2"/>
  <c r="N30" i="1"/>
  <c r="M29" i="1"/>
  <c r="J7" i="2" s="1"/>
  <c r="P13" i="2"/>
  <c r="T39" i="1"/>
  <c r="S36" i="1"/>
  <c r="P12" i="2" s="1"/>
  <c r="P18" i="2" s="1"/>
  <c r="R37" i="1"/>
  <c r="Q47" i="1"/>
  <c r="Q48" i="1"/>
  <c r="S68" i="1"/>
  <c r="T67" i="1"/>
  <c r="T65" i="1"/>
  <c r="S66" i="1"/>
  <c r="S69" i="1"/>
  <c r="U56" i="1"/>
  <c r="T57" i="1"/>
  <c r="S50" i="1"/>
  <c r="T49" i="1"/>
  <c r="S42" i="1"/>
  <c r="S40" i="1"/>
  <c r="W59" i="1"/>
  <c r="R48" i="1" l="1"/>
  <c r="R52" i="1"/>
  <c r="O20" i="2" s="1"/>
  <c r="R47" i="1"/>
  <c r="Q74" i="1"/>
  <c r="Q60" i="1"/>
  <c r="Q61" i="1" s="1"/>
  <c r="Q53" i="1"/>
  <c r="Q54" i="1"/>
  <c r="Q55" i="1" s="1"/>
  <c r="Q58" i="1"/>
  <c r="S46" i="1"/>
  <c r="P19" i="2" s="1"/>
  <c r="S70" i="1"/>
  <c r="S71" i="1"/>
  <c r="S72" i="1" s="1"/>
  <c r="K8" i="2"/>
  <c r="N29" i="1"/>
  <c r="K7" i="2" s="1"/>
  <c r="O30" i="1"/>
  <c r="Q75" i="1"/>
  <c r="N21" i="2"/>
  <c r="T43" i="1"/>
  <c r="T44" i="1" s="1"/>
  <c r="P15" i="2"/>
  <c r="S44" i="1"/>
  <c r="T40" i="1"/>
  <c r="Q13" i="2"/>
  <c r="U39" i="1"/>
  <c r="U41" i="1"/>
  <c r="Q14" i="2"/>
  <c r="T36" i="1"/>
  <c r="Q12" i="2" s="1"/>
  <c r="Q18" i="2" s="1"/>
  <c r="S37" i="1"/>
  <c r="T68" i="1"/>
  <c r="U67" i="1"/>
  <c r="T66" i="1"/>
  <c r="U65" i="1"/>
  <c r="T69" i="1"/>
  <c r="V56" i="1"/>
  <c r="U57" i="1"/>
  <c r="T50" i="1"/>
  <c r="U49" i="1"/>
  <c r="T42" i="1"/>
  <c r="R54" i="1"/>
  <c r="R58" i="1"/>
  <c r="R60" i="1"/>
  <c r="R61" i="1" s="1"/>
  <c r="R53" i="1"/>
  <c r="X59" i="1"/>
  <c r="R55" i="1" l="1"/>
  <c r="S52" i="1"/>
  <c r="P20" i="2" s="1"/>
  <c r="S48" i="1"/>
  <c r="S47" i="1"/>
  <c r="T70" i="1"/>
  <c r="T71" i="1"/>
  <c r="T72" i="1" s="1"/>
  <c r="K103" i="1"/>
  <c r="L8" i="2"/>
  <c r="O29" i="1"/>
  <c r="L7" i="2" s="1"/>
  <c r="P30" i="1"/>
  <c r="T46" i="1"/>
  <c r="Q19" i="2" s="1"/>
  <c r="V41" i="1"/>
  <c r="R14" i="2"/>
  <c r="U43" i="1"/>
  <c r="Q15" i="2"/>
  <c r="V39" i="1"/>
  <c r="R13" i="2"/>
  <c r="U36" i="1"/>
  <c r="R12" i="2" s="1"/>
  <c r="R18" i="2" s="1"/>
  <c r="T37" i="1"/>
  <c r="U68" i="1"/>
  <c r="V67" i="1"/>
  <c r="U66" i="1"/>
  <c r="V65" i="1"/>
  <c r="U69" i="1"/>
  <c r="V57" i="1"/>
  <c r="W56" i="1"/>
  <c r="U50" i="1"/>
  <c r="V49" i="1"/>
  <c r="R74" i="1"/>
  <c r="U42" i="1"/>
  <c r="U40" i="1"/>
  <c r="S58" i="1"/>
  <c r="Y59" i="1"/>
  <c r="S60" i="1" l="1"/>
  <c r="S54" i="1"/>
  <c r="S55" i="1" s="1"/>
  <c r="S53" i="1"/>
  <c r="V43" i="1"/>
  <c r="R15" i="2"/>
  <c r="W39" i="1"/>
  <c r="S13" i="2"/>
  <c r="R75" i="1"/>
  <c r="O21" i="2"/>
  <c r="W41" i="1"/>
  <c r="S14" i="2"/>
  <c r="K105" i="1"/>
  <c r="K107" i="1" s="1"/>
  <c r="K102" i="1"/>
  <c r="L103" i="1"/>
  <c r="T47" i="1"/>
  <c r="T52" i="1"/>
  <c r="Q20" i="2" s="1"/>
  <c r="U70" i="1"/>
  <c r="U71" i="1"/>
  <c r="U72" i="1" s="1"/>
  <c r="M8" i="2"/>
  <c r="Q30" i="1"/>
  <c r="P29" i="1"/>
  <c r="M7" i="2" s="1"/>
  <c r="T48" i="1"/>
  <c r="U44" i="1"/>
  <c r="V36" i="1"/>
  <c r="S12" i="2" s="1"/>
  <c r="S18" i="2" s="1"/>
  <c r="U37" i="1"/>
  <c r="U46" i="1"/>
  <c r="R19" i="2" s="1"/>
  <c r="W67" i="1"/>
  <c r="V68" i="1"/>
  <c r="V66" i="1"/>
  <c r="W65" i="1"/>
  <c r="V69" i="1"/>
  <c r="X56" i="1"/>
  <c r="W57" i="1"/>
  <c r="W49" i="1"/>
  <c r="V50" i="1"/>
  <c r="V44" i="1"/>
  <c r="V42" i="1"/>
  <c r="S74" i="1"/>
  <c r="S61" i="1"/>
  <c r="V40" i="1"/>
  <c r="U52" i="1" l="1"/>
  <c r="R20" i="2" s="1"/>
  <c r="T58" i="1"/>
  <c r="T54" i="1"/>
  <c r="T55" i="1" s="1"/>
  <c r="U48" i="1"/>
  <c r="U47" i="1"/>
  <c r="S75" i="1"/>
  <c r="P21" i="2"/>
  <c r="X41" i="1"/>
  <c r="T14" i="2"/>
  <c r="L105" i="1"/>
  <c r="L107" i="1" s="1"/>
  <c r="M103" i="1"/>
  <c r="L102" i="1"/>
  <c r="X39" i="1"/>
  <c r="T13" i="2"/>
  <c r="T60" i="1"/>
  <c r="T61" i="1" s="1"/>
  <c r="V70" i="1"/>
  <c r="V71" i="1"/>
  <c r="V72" i="1" s="1"/>
  <c r="T53" i="1"/>
  <c r="N8" i="2"/>
  <c r="R30" i="1"/>
  <c r="Q29" i="1"/>
  <c r="N7" i="2" s="1"/>
  <c r="W43" i="1"/>
  <c r="W44" i="1" s="1"/>
  <c r="S15" i="2"/>
  <c r="W36" i="1"/>
  <c r="T12" i="2" s="1"/>
  <c r="T18" i="2" s="1"/>
  <c r="V37" i="1"/>
  <c r="V46" i="1"/>
  <c r="X67" i="1"/>
  <c r="W68" i="1"/>
  <c r="W66" i="1"/>
  <c r="X65" i="1"/>
  <c r="W69" i="1"/>
  <c r="Y56" i="1"/>
  <c r="Y57" i="1" s="1"/>
  <c r="X57" i="1"/>
  <c r="X49" i="1"/>
  <c r="W50" i="1"/>
  <c r="T74" i="1"/>
  <c r="W42" i="1"/>
  <c r="W40" i="1"/>
  <c r="U53" i="1"/>
  <c r="U60" i="1"/>
  <c r="U61" i="1" s="1"/>
  <c r="U54" i="1"/>
  <c r="U55" i="1" s="1"/>
  <c r="U58" i="1"/>
  <c r="U74" i="1"/>
  <c r="R21" i="2" s="1"/>
  <c r="V47" i="1" l="1"/>
  <c r="S19" i="2"/>
  <c r="Y39" i="1"/>
  <c r="V13" i="2" s="1"/>
  <c r="U13" i="2"/>
  <c r="M102" i="1"/>
  <c r="N103" i="1"/>
  <c r="M105" i="1"/>
  <c r="M107" i="1" s="1"/>
  <c r="O8" i="2"/>
  <c r="S30" i="1"/>
  <c r="R29" i="1"/>
  <c r="O7" i="2" s="1"/>
  <c r="Y41" i="1"/>
  <c r="V14" i="2" s="1"/>
  <c r="U14" i="2"/>
  <c r="X43" i="1"/>
  <c r="X44" i="1" s="1"/>
  <c r="T15" i="2"/>
  <c r="T75" i="1"/>
  <c r="Q21" i="2"/>
  <c r="W70" i="1"/>
  <c r="W71" i="1"/>
  <c r="W72" i="1" s="1"/>
  <c r="X36" i="1"/>
  <c r="U12" i="2" s="1"/>
  <c r="U18" i="2" s="1"/>
  <c r="W37" i="1"/>
  <c r="V52" i="1"/>
  <c r="S20" i="2" s="1"/>
  <c r="W46" i="1"/>
  <c r="T19" i="2" s="1"/>
  <c r="V48" i="1"/>
  <c r="Y67" i="1"/>
  <c r="Y68" i="1" s="1"/>
  <c r="X68" i="1"/>
  <c r="Y65" i="1"/>
  <c r="X66" i="1"/>
  <c r="X69" i="1"/>
  <c r="U75" i="1"/>
  <c r="Y49" i="1"/>
  <c r="Y50" i="1" s="1"/>
  <c r="X50" i="1"/>
  <c r="X42" i="1"/>
  <c r="X40" i="1"/>
  <c r="V53" i="1" l="1"/>
  <c r="V58" i="1"/>
  <c r="W48" i="1"/>
  <c r="W47" i="1"/>
  <c r="V54" i="1"/>
  <c r="V55" i="1" s="1"/>
  <c r="W52" i="1"/>
  <c r="T20" i="2" s="1"/>
  <c r="Y43" i="1"/>
  <c r="U15" i="2"/>
  <c r="X70" i="1"/>
  <c r="X71" i="1"/>
  <c r="X72" i="1" s="1"/>
  <c r="P8" i="2"/>
  <c r="S29" i="1"/>
  <c r="P7" i="2" s="1"/>
  <c r="T30" i="1"/>
  <c r="Y42" i="1"/>
  <c r="O103" i="1"/>
  <c r="N105" i="1"/>
  <c r="N107" i="1" s="1"/>
  <c r="N102" i="1"/>
  <c r="V74" i="1"/>
  <c r="V60" i="1"/>
  <c r="V61" i="1" s="1"/>
  <c r="Y36" i="1"/>
  <c r="X37" i="1"/>
  <c r="X46" i="1"/>
  <c r="U19" i="2" s="1"/>
  <c r="Y66" i="1"/>
  <c r="Y69" i="1"/>
  <c r="X48" i="1"/>
  <c r="X47" i="1"/>
  <c r="Y40" i="1"/>
  <c r="W54" i="1"/>
  <c r="W55" i="1" s="1"/>
  <c r="W53" i="1"/>
  <c r="W58" i="1"/>
  <c r="W60" i="1"/>
  <c r="W61" i="1" s="1"/>
  <c r="X52" i="1" l="1"/>
  <c r="U20" i="2" s="1"/>
  <c r="Y37" i="1"/>
  <c r="V12" i="2"/>
  <c r="V18" i="2" s="1"/>
  <c r="Y46" i="1"/>
  <c r="V19" i="2" s="1"/>
  <c r="Q8" i="2"/>
  <c r="U30" i="1"/>
  <c r="T29" i="1"/>
  <c r="Q7" i="2" s="1"/>
  <c r="V75" i="1"/>
  <c r="S21" i="2"/>
  <c r="O105" i="1"/>
  <c r="O107" i="1" s="1"/>
  <c r="O102" i="1"/>
  <c r="P103" i="1"/>
  <c r="Y70" i="1"/>
  <c r="Y71" i="1"/>
  <c r="Y72" i="1" s="1"/>
  <c r="V15" i="2"/>
  <c r="Y44" i="1"/>
  <c r="W74" i="1"/>
  <c r="X58" i="1"/>
  <c r="X54" i="1"/>
  <c r="X55" i="1" s="1"/>
  <c r="X53" i="1"/>
  <c r="X60" i="1"/>
  <c r="X61" i="1" s="1"/>
  <c r="Y47" i="1" l="1"/>
  <c r="Y52" i="1"/>
  <c r="V20" i="2" s="1"/>
  <c r="W75" i="1"/>
  <c r="T21" i="2"/>
  <c r="Y48" i="1"/>
  <c r="Q103" i="1"/>
  <c r="P105" i="1"/>
  <c r="P107" i="1" s="1"/>
  <c r="P102" i="1"/>
  <c r="R8" i="2"/>
  <c r="V30" i="1"/>
  <c r="U29" i="1"/>
  <c r="R7" i="2" s="1"/>
  <c r="X74" i="1"/>
  <c r="Y54" i="1"/>
  <c r="Y55" i="1" s="1"/>
  <c r="Y53" i="1"/>
  <c r="Y58" i="1"/>
  <c r="Y60" i="1"/>
  <c r="Y61" i="1" s="1"/>
  <c r="X75" i="1" l="1"/>
  <c r="U21" i="2"/>
  <c r="S8" i="2"/>
  <c r="W30" i="1"/>
  <c r="V29" i="1"/>
  <c r="S7" i="2" s="1"/>
  <c r="R103" i="1"/>
  <c r="Q105" i="1"/>
  <c r="Q107" i="1" s="1"/>
  <c r="Q102" i="1"/>
  <c r="Y74" i="1"/>
  <c r="Y75" i="1" l="1"/>
  <c r="V21" i="2"/>
  <c r="R102" i="1"/>
  <c r="R105" i="1"/>
  <c r="R107" i="1" s="1"/>
  <c r="S103" i="1"/>
  <c r="T8" i="2"/>
  <c r="W29" i="1"/>
  <c r="T7" i="2" s="1"/>
  <c r="X30" i="1"/>
  <c r="U8" i="2" l="1"/>
  <c r="X29" i="1"/>
  <c r="U7" i="2" s="1"/>
  <c r="Y30" i="1"/>
  <c r="T103" i="1"/>
  <c r="S105" i="1"/>
  <c r="S107" i="1" s="1"/>
  <c r="S102" i="1"/>
  <c r="U103" i="1" l="1"/>
  <c r="G108" i="1" s="1"/>
  <c r="G113" i="1" s="1"/>
  <c r="T102" i="1"/>
  <c r="T105" i="1"/>
  <c r="T107" i="1" s="1"/>
  <c r="Y29" i="1"/>
  <c r="V7" i="2" s="1"/>
  <c r="V8" i="2"/>
  <c r="G120" i="1" l="1"/>
  <c r="G124" i="1" s="1"/>
  <c r="I20" i="1" s="1"/>
  <c r="U105" i="1"/>
  <c r="U107" i="1" s="1"/>
  <c r="U102" i="1"/>
  <c r="G129" i="1" l="1"/>
  <c r="G128" i="1"/>
  <c r="E129" i="1" l="1"/>
  <c r="H21" i="1" s="1"/>
  <c r="I2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F87" authorId="0" shapeId="0" xr:uid="{D9CB0993-E091-6242-93B9-84E1F6078981}">
      <text>
        <r>
          <rPr>
            <b/>
            <sz val="10"/>
            <color rgb="FF000000"/>
            <rFont val="Tahoma"/>
            <family val="2"/>
          </rPr>
          <t>Elijah:</t>
        </r>
        <r>
          <rPr>
            <sz val="10"/>
            <color rgb="FF000000"/>
            <rFont val="Tahoma"/>
            <family val="2"/>
          </rPr>
          <t xml:space="preserve">
</t>
        </r>
        <r>
          <rPr>
            <sz val="10"/>
            <color rgb="FF000000"/>
            <rFont val="Tahoma"/>
            <family val="2"/>
          </rPr>
          <t xml:space="preserve">Google "Fidelity Beta for ______"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<sst xmlns="http://schemas.openxmlformats.org/spreadsheetml/2006/main" count="94" uniqueCount="74">
  <si>
    <t>Key Outputs</t>
  </si>
  <si>
    <t>Resources</t>
  </si>
  <si>
    <t>https://roic.ai</t>
  </si>
  <si>
    <t>P/E Ratio</t>
  </si>
  <si>
    <t>https://www.sec.gov/edgar.shtml</t>
  </si>
  <si>
    <t>Shares Outstanding</t>
  </si>
  <si>
    <t>Add company's latest 10K here</t>
  </si>
  <si>
    <t>https://www.sec.gov/Archives/edgar/data/1318605/000095017022000796/tsla-20211231.htm</t>
  </si>
  <si>
    <t>Market Cap</t>
  </si>
  <si>
    <t>Assumptions</t>
  </si>
  <si>
    <t>in millions</t>
  </si>
  <si>
    <t>Current Date</t>
  </si>
  <si>
    <t>Average Growth Assumptions</t>
  </si>
  <si>
    <t>in thousands</t>
  </si>
  <si>
    <t>Start Year</t>
  </si>
  <si>
    <t>in dollars</t>
  </si>
  <si>
    <t>Assumed Long Term Growth Rate</t>
  </si>
  <si>
    <t>Type of Organization</t>
  </si>
  <si>
    <t>Business</t>
  </si>
  <si>
    <t>Company Ticker</t>
  </si>
  <si>
    <t xml:space="preserve">Unlevered Free Cash Flows </t>
  </si>
  <si>
    <t>Nonprofit</t>
  </si>
  <si>
    <t>Revenue (Gross)</t>
  </si>
  <si>
    <t>Foundation</t>
  </si>
  <si>
    <t>Growth Rate</t>
  </si>
  <si>
    <t>DAO</t>
  </si>
  <si>
    <t>Expenses (fill below)</t>
  </si>
  <si>
    <t>COGs</t>
  </si>
  <si>
    <t>R&amp;D</t>
  </si>
  <si>
    <t>SG&amp;A</t>
  </si>
  <si>
    <t>EBITDA</t>
  </si>
  <si>
    <t>EBIDTA Margin (Operating Margin)</t>
  </si>
  <si>
    <t>Depreciation &amp; Amoritization</t>
  </si>
  <si>
    <t>EBIT</t>
  </si>
  <si>
    <t>EBIT Margin</t>
  </si>
  <si>
    <t>Provision for Income Tax</t>
  </si>
  <si>
    <t>Effective Tax Rate</t>
  </si>
  <si>
    <t>Assumed Growth Rate</t>
  </si>
  <si>
    <t>Corporate Tax Rate</t>
  </si>
  <si>
    <t>Assumed Taxes at Corp Rate (Use Provision Otherwise)</t>
  </si>
  <si>
    <t>Assumed Delta</t>
  </si>
  <si>
    <t>CAPEX</t>
  </si>
  <si>
    <t>Current Assets</t>
  </si>
  <si>
    <t>Current Liabilities</t>
  </si>
  <si>
    <t>NWC</t>
  </si>
  <si>
    <t>Change in NWC</t>
  </si>
  <si>
    <t>Unlevered Free Cash Flow</t>
  </si>
  <si>
    <t>Discount Factor (WACC)</t>
  </si>
  <si>
    <t>Total Long Term Debt/Liabilities</t>
  </si>
  <si>
    <t>Cost of Equity</t>
  </si>
  <si>
    <t>CAPM</t>
  </si>
  <si>
    <t>Risk Free Rate</t>
  </si>
  <si>
    <t>Beta Equity for Industry</t>
  </si>
  <si>
    <t>Assumed Market Return (Ave. Over Time)</t>
  </si>
  <si>
    <t>Assumed Cost of Debt</t>
  </si>
  <si>
    <t>E/V Ratio</t>
  </si>
  <si>
    <t>D/V Ratio</t>
  </si>
  <si>
    <t>Assumed WACC</t>
  </si>
  <si>
    <t>Terminal Value</t>
  </si>
  <si>
    <t>Assumed Terminal Year</t>
  </si>
  <si>
    <t>Terminal Multiple</t>
  </si>
  <si>
    <t>Discounted Cash Flows</t>
  </si>
  <si>
    <t xml:space="preserve">Year </t>
  </si>
  <si>
    <t>Discount Factor</t>
  </si>
  <si>
    <t>Discounted Unlevered Free Cash Flows</t>
  </si>
  <si>
    <t>PV of Terminal Value</t>
  </si>
  <si>
    <t>Net Enterprise Value</t>
  </si>
  <si>
    <t>Purchase Price Calculations</t>
  </si>
  <si>
    <t xml:space="preserve">Total Debt </t>
  </si>
  <si>
    <t>Cash</t>
  </si>
  <si>
    <t>Implied Premium / Discount</t>
  </si>
  <si>
    <t>Key Metrics (Historical and Projected)</t>
  </si>
  <si>
    <t>Revenue Compared to Operating Income Metrics (H&amp;P)</t>
  </si>
  <si>
    <t>Implied CAGR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</si>
</sst>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quot;$&quot;* #,##0_);_(&quot;$&quot;* \(#,##0\);_(&quot;$&quot;* &quot;-&quot;??_);_(@_)"/>
    <numFmt numFmtId="165" formatCode="_(* #,##0.000000_);_(* \(#,##0.000000\);_(* &quot;-&quot;??_);_(@_)"/>
    <numFmt numFmtId="166" formatCode="0.00\x"/>
    <numFmt numFmtId="167" formatCode="_(* #,##0_);_(* \(#,##0\);_(* &quot;-&quot;??_);_(@_)"/>
    <numFmt numFmtId="168" formatCode="_([$$-409]* #,##0.00_);_([$$-409]* \(#,##0.00\);_([$$-409]* &quot;-&quot;??_);_(@_)"/>
    <numFmt numFmtId="169" formatCode="_([$$-409]* #,##0_);_([$$-409]* \(#,##0\);_([$$-409]* &quot;-&quot;_);_(@_)"/>
  </numFmts>
  <fonts count="28"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i/>
      <sz val="14"/>
      <color theme="1"/>
      <name val="Calibri"/>
      <family val="2"/>
      <scheme val="minor"/>
    </font>
    <font>
      <i/>
      <sz val="12"/>
      <color theme="1"/>
      <name val="Calibri"/>
      <family val="2"/>
      <scheme val="minor"/>
    </font>
    <font>
      <i/>
      <sz val="11"/>
      <color theme="1"/>
      <name val="Calibri"/>
      <family val="2"/>
      <scheme val="minor"/>
    </font>
    <font>
      <u/>
      <sz val="11"/>
      <color theme="10"/>
      <name val="Calibri"/>
      <family val="2"/>
      <scheme val="minor"/>
    </font>
    <font>
      <b/>
      <i/>
      <sz val="12"/>
      <color theme="1"/>
      <name val="Calibri"/>
      <family val="2"/>
      <scheme val="minor"/>
    </font>
    <font>
      <b/>
      <sz val="12"/>
      <color theme="1"/>
      <name val="Calibri"/>
      <family val="2"/>
      <scheme val="minor"/>
    </font>
    <font>
      <i/>
      <sz val="12"/>
      <color rgb="FF1802FD"/>
      <name val="Calibri"/>
      <family val="2"/>
      <scheme val="minor"/>
    </font>
    <font>
      <sz val="10"/>
      <color rgb="FF000000"/>
      <name val="Tahoma"/>
      <family val="2"/>
    </font>
    <font>
      <b/>
      <sz val="10"/>
      <color rgb="FF000000"/>
      <name val="Tahoma"/>
      <family val="2"/>
    </font>
    <font>
      <sz val="12"/>
      <color rgb="FF1802FD"/>
      <name val="Calibri"/>
      <family val="2"/>
      <scheme val="minor"/>
    </font>
    <font>
      <b/>
      <sz val="12"/>
      <color rgb="FF1802FD"/>
      <name val="Calibri"/>
      <family val="2"/>
      <scheme val="minor"/>
    </font>
    <font>
      <b/>
      <i/>
      <sz val="12"/>
      <color rgb="FF1802FD"/>
      <name val="Calibri"/>
      <family val="2"/>
      <scheme val="minor"/>
    </font>
    <font>
      <sz val="14"/>
      <color theme="1"/>
      <name val="Calibri"/>
      <family val="2"/>
      <scheme val="minor"/>
    </font>
    <font>
      <i/>
      <sz val="14"/>
      <color theme="1"/>
      <name val="Calibri"/>
      <family val="2"/>
      <scheme val="minor"/>
    </font>
    <font>
      <b/>
      <sz val="14"/>
      <color theme="1"/>
      <name val="Calibri"/>
      <family val="2"/>
      <scheme val="minor"/>
    </font>
    <font>
      <u/>
      <sz val="14"/>
      <color rgb="FF000000"/>
      <name val="Calibri"/>
      <family val="2"/>
      <scheme val="minor"/>
    </font>
    <font>
      <sz val="11"/>
      <color theme="2" tint="-9.9978637043366805E-2"/>
      <name val="Calibri"/>
      <family val="2"/>
      <scheme val="minor"/>
    </font>
    <font>
      <sz val="11"/>
      <color theme="2"/>
      <name val="Calibri"/>
      <family val="2"/>
      <scheme val="minor"/>
    </font>
    <font>
      <i/>
      <sz val="11"/>
      <color theme="2"/>
      <name val="Calibri"/>
      <family val="2"/>
      <scheme val="minor"/>
    </font>
    <font>
      <b/>
      <sz val="24"/>
      <color theme="1"/>
      <name val="Calibri"/>
      <family val="2"/>
      <scheme val="minor"/>
    </font>
    <font>
      <b/>
      <sz val="13"/>
      <color theme="1"/>
      <name val="Calibri"/>
      <family val="2"/>
      <scheme val="minor"/>
    </font>
    <font>
      <sz val="13"/>
      <color theme="1"/>
      <name val="Calibri"/>
      <family val="2"/>
      <scheme val="minor"/>
    </font>
    <font>
      <i/>
      <sz val="13"/>
      <color theme="1"/>
      <name val="Calibri"/>
      <family val="2"/>
      <scheme val="minor"/>
    </font>
  </fonts>
  <fills count="4">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s>
  <borders count="11">
    <border>
      <left/>
      <right/>
      <top/>
      <bottom/>
      <diagonal/>
    </border>
    <border>
      <left/>
      <right/>
      <top/>
      <bottom style="thin">
        <color indexed="64"/>
      </bottom>
      <diagonal/>
    </border>
    <border>
      <left/>
      <right/>
      <top style="thin">
        <color theme="2" tint="-0.74999237037263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44" fontId="2" fillId="0" borderId="0" applyFont="0" applyFill="0" applyBorder="0" applyAlignment="0" applyProtection="0"/>
    <xf numFmtId="9" fontId="2" fillId="0" borderId="0" applyFont="0" applyFill="0" applyBorder="0" applyAlignment="0" applyProtection="0"/>
    <xf numFmtId="0" fontId="8" fillId="0" borderId="0" applyNumberFormat="0" applyFill="0" applyBorder="0" applyAlignment="0" applyProtection="0"/>
    <xf numFmtId="43" fontId="2" fillId="0" borderId="0" applyFont="0" applyFill="0" applyBorder="0" applyAlignment="0" applyProtection="0"/>
  </cellStyleXfs>
  <cellXfs count="108">
    <xf numFmtId="0" fontId="0" fillId="0" borderId="0" xfId="0"/>
    <xf numFmtId="0" fontId="3" fillId="0" borderId="0" xfId="0" applyFont="1"/>
    <xf numFmtId="0" fontId="4" fillId="0" borderId="0" xfId="0" applyFont="1"/>
    <xf numFmtId="0" fontId="3" fillId="0" borderId="0" xfId="0" applyFont="1" applyAlignment="1">
      <alignment horizontal="center" vertical="center"/>
    </xf>
    <xf numFmtId="0" fontId="6" fillId="0" borderId="0" xfId="0" applyFont="1" applyAlignment="1">
      <alignment horizontal="left" indent="1"/>
    </xf>
    <xf numFmtId="0" fontId="7" fillId="0" borderId="0" xfId="0" applyFont="1"/>
    <xf numFmtId="44" fontId="0" fillId="0" borderId="0" xfId="1" applyFont="1"/>
    <xf numFmtId="0" fontId="5" fillId="0" borderId="1" xfId="0" applyFont="1" applyBorder="1"/>
    <xf numFmtId="0" fontId="8" fillId="0" borderId="0" xfId="3"/>
    <xf numFmtId="164" fontId="0" fillId="0" borderId="0" xfId="0" applyNumberFormat="1"/>
    <xf numFmtId="44" fontId="7" fillId="0" borderId="0" xfId="1" applyFont="1"/>
    <xf numFmtId="0" fontId="11" fillId="0" borderId="1" xfId="0" applyFont="1" applyBorder="1" applyAlignment="1">
      <alignment horizontal="center" vertical="center"/>
    </xf>
    <xf numFmtId="0" fontId="9" fillId="2" borderId="0" xfId="0" applyFont="1" applyFill="1" applyAlignment="1">
      <alignment horizontal="center" vertical="center"/>
    </xf>
    <xf numFmtId="0" fontId="3" fillId="2" borderId="0" xfId="0" applyFont="1" applyFill="1"/>
    <xf numFmtId="164" fontId="3" fillId="0" borderId="0" xfId="0" applyNumberFormat="1" applyFont="1"/>
    <xf numFmtId="164" fontId="14" fillId="0" borderId="0" xfId="0" applyNumberFormat="1" applyFont="1"/>
    <xf numFmtId="0" fontId="10" fillId="0" borderId="0" xfId="0" applyFont="1"/>
    <xf numFmtId="164" fontId="10" fillId="0" borderId="0" xfId="0" applyNumberFormat="1" applyFont="1"/>
    <xf numFmtId="44" fontId="10" fillId="0" borderId="0" xfId="1" applyFont="1"/>
    <xf numFmtId="0" fontId="9" fillId="0" borderId="3" xfId="0" applyFont="1" applyBorder="1"/>
    <xf numFmtId="0" fontId="9" fillId="0" borderId="6" xfId="0" applyFont="1" applyBorder="1" applyAlignment="1">
      <alignment horizontal="left"/>
    </xf>
    <xf numFmtId="10" fontId="9" fillId="0" borderId="8" xfId="2" applyNumberFormat="1" applyFont="1" applyBorder="1" applyAlignment="1">
      <alignment horizontal="center" vertical="center"/>
    </xf>
    <xf numFmtId="0" fontId="6" fillId="0" borderId="0" xfId="0" applyFont="1" applyAlignment="1">
      <alignment horizontal="right"/>
    </xf>
    <xf numFmtId="0" fontId="6" fillId="0" borderId="0" xfId="0" applyFont="1"/>
    <xf numFmtId="164" fontId="6" fillId="0" borderId="0" xfId="1" applyNumberFormat="1" applyFont="1" applyAlignment="1">
      <alignment horizontal="center"/>
    </xf>
    <xf numFmtId="0" fontId="9" fillId="0" borderId="0" xfId="0" applyFont="1"/>
    <xf numFmtId="164" fontId="9" fillId="0" borderId="0" xfId="0" applyNumberFormat="1" applyFont="1"/>
    <xf numFmtId="0" fontId="14" fillId="0" borderId="0" xfId="0" applyFont="1"/>
    <xf numFmtId="164" fontId="14" fillId="0" borderId="0" xfId="1" applyNumberFormat="1" applyFont="1"/>
    <xf numFmtId="10" fontId="14" fillId="0" borderId="0" xfId="2" applyNumberFormat="1" applyFont="1"/>
    <xf numFmtId="10" fontId="14" fillId="0" borderId="0" xfId="0" applyNumberFormat="1" applyFont="1"/>
    <xf numFmtId="10" fontId="11" fillId="0" borderId="0" xfId="2" applyNumberFormat="1" applyFont="1" applyAlignment="1">
      <alignment horizontal="center"/>
    </xf>
    <xf numFmtId="0" fontId="9" fillId="0" borderId="0" xfId="0" applyFont="1" applyAlignment="1">
      <alignment horizontal="left" indent="1"/>
    </xf>
    <xf numFmtId="44" fontId="15" fillId="0" borderId="0" xfId="1" applyFont="1"/>
    <xf numFmtId="164" fontId="15" fillId="0" borderId="0" xfId="1" applyNumberFormat="1" applyFont="1"/>
    <xf numFmtId="164" fontId="15" fillId="2" borderId="0" xfId="1" applyNumberFormat="1" applyFont="1" applyFill="1"/>
    <xf numFmtId="164" fontId="10" fillId="0" borderId="0" xfId="1" applyNumberFormat="1" applyFont="1"/>
    <xf numFmtId="0" fontId="6" fillId="0" borderId="0" xfId="0" applyFont="1" applyAlignment="1">
      <alignment horizontal="left" indent="2"/>
    </xf>
    <xf numFmtId="10" fontId="6" fillId="0" borderId="0" xfId="2" applyNumberFormat="1" applyFont="1"/>
    <xf numFmtId="10" fontId="9" fillId="2" borderId="0" xfId="2" applyNumberFormat="1" applyFont="1" applyFill="1" applyAlignment="1">
      <alignment horizontal="center" vertical="center"/>
    </xf>
    <xf numFmtId="44" fontId="10" fillId="2" borderId="0" xfId="1" applyFont="1" applyFill="1"/>
    <xf numFmtId="44" fontId="14" fillId="0" borderId="0" xfId="1" applyFont="1"/>
    <xf numFmtId="44" fontId="10" fillId="2" borderId="0" xfId="1" applyFont="1" applyFill="1" applyBorder="1"/>
    <xf numFmtId="0" fontId="10" fillId="0" borderId="2" xfId="0" applyFont="1" applyBorder="1"/>
    <xf numFmtId="44" fontId="10" fillId="0" borderId="2" xfId="1" applyFont="1" applyBorder="1"/>
    <xf numFmtId="164" fontId="10" fillId="0" borderId="2" xfId="1" applyNumberFormat="1" applyFont="1" applyBorder="1"/>
    <xf numFmtId="164" fontId="10" fillId="2" borderId="2" xfId="1" applyNumberFormat="1" applyFont="1" applyFill="1" applyBorder="1"/>
    <xf numFmtId="10" fontId="6" fillId="0" borderId="0" xfId="2" applyNumberFormat="1" applyFont="1" applyAlignment="1">
      <alignment horizontal="center"/>
    </xf>
    <xf numFmtId="164" fontId="10" fillId="2" borderId="0" xfId="0" applyNumberFormat="1" applyFont="1" applyFill="1"/>
    <xf numFmtId="10" fontId="9" fillId="2" borderId="0" xfId="2" applyNumberFormat="1" applyFont="1" applyFill="1" applyAlignment="1">
      <alignment horizontal="center"/>
    </xf>
    <xf numFmtId="10" fontId="16" fillId="2" borderId="0" xfId="2" applyNumberFormat="1" applyFont="1" applyFill="1" applyAlignment="1">
      <alignment horizontal="center"/>
    </xf>
    <xf numFmtId="164" fontId="6" fillId="0" borderId="0" xfId="0" applyNumberFormat="1" applyFont="1"/>
    <xf numFmtId="164" fontId="9" fillId="2" borderId="0" xfId="0" applyNumberFormat="1" applyFont="1" applyFill="1"/>
    <xf numFmtId="0" fontId="10" fillId="2" borderId="0" xfId="0" applyFont="1" applyFill="1"/>
    <xf numFmtId="14" fontId="10" fillId="0" borderId="0" xfId="0" applyNumberFormat="1" applyFont="1" applyAlignment="1">
      <alignment horizontal="center" vertical="center"/>
    </xf>
    <xf numFmtId="0" fontId="10" fillId="0" borderId="0" xfId="0" applyFont="1" applyAlignment="1">
      <alignment horizontal="center" vertical="center"/>
    </xf>
    <xf numFmtId="0" fontId="15" fillId="0" borderId="0" xfId="0" applyFont="1" applyAlignment="1">
      <alignment horizontal="center" vertical="center"/>
    </xf>
    <xf numFmtId="0" fontId="10" fillId="2" borderId="0" xfId="0" applyFont="1" applyFill="1" applyAlignment="1">
      <alignment horizontal="center" vertical="center"/>
    </xf>
    <xf numFmtId="10" fontId="14" fillId="0" borderId="0" xfId="2" applyNumberFormat="1" applyFont="1" applyAlignment="1">
      <alignment horizontal="center" vertical="center"/>
    </xf>
    <xf numFmtId="0" fontId="14" fillId="0" borderId="0" xfId="0" applyFont="1" applyAlignment="1">
      <alignment horizontal="center" vertical="center"/>
    </xf>
    <xf numFmtId="0" fontId="17" fillId="0" borderId="0" xfId="0" applyFont="1"/>
    <xf numFmtId="0" fontId="18" fillId="0" borderId="0" xfId="0" applyFont="1" applyAlignment="1">
      <alignment horizontal="left" indent="1"/>
    </xf>
    <xf numFmtId="14" fontId="19" fillId="0" borderId="0" xfId="0" applyNumberFormat="1" applyFont="1" applyAlignment="1">
      <alignment horizontal="center" vertical="center"/>
    </xf>
    <xf numFmtId="0" fontId="19" fillId="0" borderId="0" xfId="0" applyFont="1" applyAlignment="1">
      <alignment horizontal="center" vertical="center"/>
    </xf>
    <xf numFmtId="10" fontId="17" fillId="0" borderId="0" xfId="2" applyNumberFormat="1" applyFont="1" applyAlignment="1">
      <alignment horizontal="center" vertical="center"/>
    </xf>
    <xf numFmtId="0" fontId="17" fillId="0" borderId="0" xfId="0" applyFont="1" applyAlignment="1">
      <alignment horizontal="center" vertical="center"/>
    </xf>
    <xf numFmtId="0" fontId="19" fillId="0" borderId="0" xfId="0" applyFont="1"/>
    <xf numFmtId="164" fontId="17" fillId="0" borderId="0" xfId="1" applyNumberFormat="1" applyFont="1"/>
    <xf numFmtId="0" fontId="20" fillId="0" borderId="0" xfId="0" applyFont="1" applyAlignment="1">
      <alignment horizontal="center" vertical="center" readingOrder="1"/>
    </xf>
    <xf numFmtId="0" fontId="21" fillId="0" borderId="0" xfId="0" applyFont="1"/>
    <xf numFmtId="0" fontId="22" fillId="0" borderId="0" xfId="0" applyFont="1"/>
    <xf numFmtId="0" fontId="23" fillId="0" borderId="0" xfId="0" applyFont="1"/>
    <xf numFmtId="10" fontId="9" fillId="3" borderId="0" xfId="2" applyNumberFormat="1" applyFont="1" applyFill="1" applyAlignment="1">
      <alignment horizontal="center" vertical="center"/>
    </xf>
    <xf numFmtId="0" fontId="25" fillId="0" borderId="3" xfId="0" applyFont="1" applyBorder="1" applyAlignment="1">
      <alignment horizontal="left" indent="2"/>
    </xf>
    <xf numFmtId="168" fontId="26" fillId="0" borderId="5" xfId="0" applyNumberFormat="1" applyFont="1" applyBorder="1"/>
    <xf numFmtId="0" fontId="26" fillId="0" borderId="9" xfId="0" applyFont="1" applyBorder="1" applyAlignment="1">
      <alignment horizontal="left" indent="3"/>
    </xf>
    <xf numFmtId="168" fontId="26" fillId="0" borderId="10" xfId="0" applyNumberFormat="1" applyFont="1" applyBorder="1"/>
    <xf numFmtId="0" fontId="27" fillId="0" borderId="9" xfId="0" applyFont="1" applyBorder="1" applyAlignment="1">
      <alignment horizontal="left" indent="3"/>
    </xf>
    <xf numFmtId="9" fontId="27" fillId="0" borderId="10" xfId="2" applyFont="1" applyBorder="1"/>
    <xf numFmtId="0" fontId="25" fillId="0" borderId="9" xfId="0" applyFont="1" applyBorder="1" applyAlignment="1">
      <alignment horizontal="left" indent="2"/>
    </xf>
    <xf numFmtId="4" fontId="26" fillId="0" borderId="10" xfId="0" applyNumberFormat="1" applyFont="1" applyBorder="1"/>
    <xf numFmtId="3" fontId="26" fillId="0" borderId="10" xfId="0" applyNumberFormat="1" applyFont="1" applyBorder="1"/>
    <xf numFmtId="0" fontId="25" fillId="0" borderId="6" xfId="0" applyFont="1" applyBorder="1" applyAlignment="1">
      <alignment horizontal="left" indent="2"/>
    </xf>
    <xf numFmtId="169" fontId="26" fillId="0" borderId="8" xfId="0" applyNumberFormat="1" applyFont="1" applyBorder="1"/>
    <xf numFmtId="167" fontId="21" fillId="0" borderId="0" xfId="4" applyNumberFormat="1" applyFont="1"/>
    <xf numFmtId="167" fontId="1" fillId="0" borderId="0" xfId="4" applyNumberFormat="1" applyFont="1"/>
    <xf numFmtId="0" fontId="1" fillId="0" borderId="0" xfId="0" applyFont="1"/>
    <xf numFmtId="0" fontId="1" fillId="2" borderId="0" xfId="0" applyFont="1" applyFill="1"/>
    <xf numFmtId="3" fontId="1" fillId="0" borderId="0" xfId="0" applyNumberFormat="1" applyFont="1"/>
    <xf numFmtId="4" fontId="1" fillId="0" borderId="0" xfId="0" applyNumberFormat="1" applyFont="1"/>
    <xf numFmtId="44" fontId="1" fillId="0" borderId="0" xfId="1" applyFont="1"/>
    <xf numFmtId="164" fontId="1" fillId="0" borderId="0" xfId="1" applyNumberFormat="1" applyFont="1"/>
    <xf numFmtId="44" fontId="1" fillId="0" borderId="0" xfId="1" applyFont="1" applyBorder="1"/>
    <xf numFmtId="164" fontId="1" fillId="0" borderId="0" xfId="0" applyNumberFormat="1" applyFont="1"/>
    <xf numFmtId="165" fontId="1" fillId="0" borderId="0" xfId="4" applyNumberFormat="1" applyFont="1"/>
    <xf numFmtId="0" fontId="1" fillId="0" borderId="0" xfId="0" applyFont="1" applyAlignment="1">
      <alignment horizontal="center" vertical="center"/>
    </xf>
    <xf numFmtId="10" fontId="1" fillId="0" borderId="0" xfId="2" applyNumberFormat="1" applyFont="1" applyAlignment="1">
      <alignment horizontal="center" vertical="center"/>
    </xf>
    <xf numFmtId="164" fontId="1" fillId="0" borderId="0" xfId="1" applyNumberFormat="1" applyFont="1" applyAlignment="1">
      <alignment horizontal="center"/>
    </xf>
    <xf numFmtId="166" fontId="1" fillId="0" borderId="0" xfId="4" applyNumberFormat="1" applyFont="1" applyAlignment="1">
      <alignment horizontal="center" vertical="center"/>
    </xf>
    <xf numFmtId="2" fontId="1" fillId="0" borderId="0" xfId="0" applyNumberFormat="1" applyFont="1"/>
    <xf numFmtId="168" fontId="1" fillId="0" borderId="0" xfId="0" applyNumberFormat="1" applyFont="1"/>
    <xf numFmtId="0" fontId="1" fillId="0" borderId="4" xfId="0" applyFont="1" applyBorder="1"/>
    <xf numFmtId="166" fontId="1" fillId="0" borderId="5" xfId="4" applyNumberFormat="1" applyFont="1" applyBorder="1" applyAlignment="1">
      <alignment horizontal="center" vertical="center"/>
    </xf>
    <xf numFmtId="0" fontId="1" fillId="0" borderId="7" xfId="0" applyFont="1" applyBorder="1"/>
    <xf numFmtId="0" fontId="24" fillId="0" borderId="0" xfId="0" applyFont="1" applyAlignment="1">
      <alignment horizontal="center"/>
    </xf>
    <xf numFmtId="10" fontId="0" fillId="0" borderId="0" xfId="2" applyNumberFormat="1" applyFont="1"/>
    <xf numFmtId="0" fontId="27" fillId="0" borderId="9" xfId="0" applyFont="1" applyBorder="1" applyAlignment="1">
      <alignment horizontal="left" indent="5"/>
    </xf>
    <xf numFmtId="10" fontId="27" fillId="0" borderId="10" xfId="2" applyNumberFormat="1" applyFont="1" applyBorder="1"/>
  </cellXfs>
  <cellStyles count="5">
    <cellStyle name="Comma" xfId="4" builtinId="3"/>
    <cellStyle name="Currency" xfId="1" builtinId="4"/>
    <cellStyle name="Hyperlink" xfId="3" builtinId="8"/>
    <cellStyle name="Normal" xfId="0" builtinId="0"/>
    <cellStyle name="Percent" xfId="2" builtinId="5"/>
  </cellStyles>
  <dxfs count="6">
    <dxf>
      <font>
        <color theme="4" tint="-0.24994659260841701"/>
      </font>
      <fill>
        <patternFill>
          <bgColor theme="4" tint="0.79998168889431442"/>
        </patternFill>
      </fill>
    </dxf>
    <dxf>
      <font>
        <color theme="7" tint="-0.24994659260841701"/>
      </font>
      <fill>
        <patternFill>
          <bgColor theme="7" tint="0.79998168889431442"/>
        </patternFill>
      </fill>
    </dxf>
    <dxf>
      <font>
        <color theme="4" tint="-0.24994659260841701"/>
      </font>
      <fill>
        <patternFill>
          <bgColor theme="4" tint="0.79998168889431442"/>
        </patternFill>
      </fill>
    </dxf>
    <dxf>
      <font>
        <color theme="7" tint="-0.24994659260841701"/>
      </font>
      <fill>
        <patternFill>
          <bgColor theme="7" tint="0.79998168889431442"/>
        </patternFill>
      </fill>
    </dxf>
    <dxf>
      <font>
        <color theme="4" tint="-0.24994659260841701"/>
      </font>
      <fill>
        <patternFill>
          <bgColor theme="4" tint="0.79998168889431442"/>
        </patternFill>
      </fill>
    </dxf>
    <dxf>
      <font>
        <color theme="7" tint="-0.24994659260841701"/>
      </font>
      <fill>
        <patternFill>
          <bgColor theme="7" tint="0.79998168889431442"/>
        </patternFill>
      </fill>
    </dxf>
  </dxfs>
  <tableStyles count="0" defaultTableStyle="TableStyleMedium2" defaultPivotStyle="PivotStyleMedium9"/>
  <colors>
    <mruColors>
      <color rgb="FF1802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alcChain" Target="calcChain.xml"/><Relationship Id="rId3" Type="http://schemas.openxmlformats.org/officeDocument/2006/relationships/theme" Target="theme/theme1.xml"/><Relationship Id="rId7" Type="http://schemas.microsoft.com/office/2017/06/relationships/rdRichValue" Target="richData/rdrichvalue.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dSupportingPropertyBag" Target="richData/rdsupportingpropertybag.xml"/><Relationship Id="rId5" Type="http://schemas.openxmlformats.org/officeDocument/2006/relationships/sharedStrings" Target="sharedStrings.xml"/><Relationship Id="rId15" Type="http://schemas.openxmlformats.org/officeDocument/2006/relationships/customXml" Target="../customXml/item2.xml"/><Relationship Id="rId10" Type="http://schemas.microsoft.com/office/2017/06/relationships/rdSupportingPropertyBagStructure" Target="richData/rdsupportingpropertybagstructure.xml"/><Relationship Id="rId4" Type="http://schemas.openxmlformats.org/officeDocument/2006/relationships/styles" Target="styles.xml"/><Relationship Id="rId9" Type="http://schemas.microsoft.com/office/2017/06/relationships/richStyles" Target="richData/richStyle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r>
              <a:rPr lang="en-US" sz="2400" b="1">
                <a:solidFill>
                  <a:schemeClr val="tx1"/>
                </a:solidFill>
              </a:rPr>
              <a:t>Key Metrics</a:t>
            </a:r>
            <a:r>
              <a:rPr lang="en-US" sz="2400" b="1" baseline="0">
                <a:solidFill>
                  <a:schemeClr val="tx1"/>
                </a:solidFill>
              </a:rPr>
              <a:t> (Historical and Projected, in millions)</a:t>
            </a:r>
            <a:endParaRPr lang="en-US" sz="2400" b="1">
              <a:solidFill>
                <a:schemeClr val="tx1"/>
              </a:solidFill>
            </a:endParaRP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3"/>
          <c:order val="3"/>
          <c:tx>
            <c:strRef>
              <c:f>Graphs!$C$12:$D$12</c:f>
              <c:strCache>
                <c:ptCount val="2"/>
                <c:pt idx="0">
                  <c:v>Revenue (Gross)</c:v>
                </c:pt>
                <c:pt idx="1">
                  <c:v> $-   </c:v>
                </c:pt>
              </c:strCache>
            </c:strRef>
          </c:tx>
          <c:spPr>
            <a:solidFill>
              <a:schemeClr val="accent1">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Graphs!$E$12:$V$12</c:f>
              <c:numCache>
                <c:formatCode>_("$"* #,##0_);_("$"* \(#,##0\);_("$"* "-"??_);_(@_)</c:formatCode>
                <c:ptCount val="18"/>
                <c:pt idx="0">
                  <c:v>0</c:v>
                </c:pt>
                <c:pt idx="1">
                  <c:v>24578</c:v>
                </c:pt>
                <c:pt idx="2">
                  <c:v>31536</c:v>
                </c:pt>
                <c:pt idx="3">
                  <c:v>53823</c:v>
                </c:pt>
                <c:pt idx="4">
                  <c:v>80460.402069408781</c:v>
                </c:pt>
                <c:pt idx="5">
                  <c:v>120280.85207385173</c:v>
                </c:pt>
                <c:pt idx="6">
                  <c:v>179808.73825526616</c:v>
                </c:pt>
                <c:pt idx="7">
                  <c:v>268797.41700781824</c:v>
                </c:pt>
                <c:pt idx="8">
                  <c:v>401827.25317554938</c:v>
                </c:pt>
                <c:pt idx="9">
                  <c:v>600694.54235086893</c:v>
                </c:pt>
                <c:pt idx="10">
                  <c:v>897982.72854449612</c:v>
                </c:pt>
                <c:pt idx="11">
                  <c:v>1342401.0439788736</c:v>
                </c:pt>
                <c:pt idx="12">
                  <c:v>2006765.2813283221</c:v>
                </c:pt>
                <c:pt idx="13">
                  <c:v>2999928.3093585833</c:v>
                </c:pt>
                <c:pt idx="14">
                  <c:v>4484615.08928141</c:v>
                </c:pt>
                <c:pt idx="15">
                  <c:v>6704084.3730397755</c:v>
                </c:pt>
                <c:pt idx="16">
                  <c:v>10021985.473905591</c:v>
                </c:pt>
                <c:pt idx="17">
                  <c:v>14981940.448585516</c:v>
                </c:pt>
              </c:numCache>
            </c:numRef>
          </c:val>
          <c:extLst>
            <c:ext xmlns:c16="http://schemas.microsoft.com/office/drawing/2014/chart" uri="{C3380CC4-5D6E-409C-BE32-E72D297353CC}">
              <c16:uniqueId val="{00000003-5D5D-F54A-AF00-6A60FFE2B3FB}"/>
            </c:ext>
          </c:extLst>
        </c:ser>
        <c:ser>
          <c:idx val="4"/>
          <c:order val="4"/>
          <c:tx>
            <c:strRef>
              <c:f>Graphs!$C$13:$D$13</c:f>
              <c:strCache>
                <c:ptCount val="2"/>
                <c:pt idx="0">
                  <c:v>COGs</c:v>
                </c:pt>
                <c:pt idx="1">
                  <c:v> $-   </c:v>
                </c:pt>
              </c:strCache>
            </c:strRef>
          </c:tx>
          <c:spPr>
            <a:solidFill>
              <a:schemeClr val="accent3">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Graphs!$E$13:$V$13</c:f>
              <c:numCache>
                <c:formatCode>_("$"* #,##0_);_("$"* \(#,##0\);_("$"* "-"??_);_(@_)</c:formatCode>
                <c:ptCount val="18"/>
                <c:pt idx="0">
                  <c:v>0</c:v>
                </c:pt>
                <c:pt idx="1">
                  <c:v>20509</c:v>
                </c:pt>
                <c:pt idx="2">
                  <c:v>24906</c:v>
                </c:pt>
                <c:pt idx="3">
                  <c:v>40217</c:v>
                </c:pt>
                <c:pt idx="4">
                  <c:v>56889.865175044615</c:v>
                </c:pt>
                <c:pt idx="5">
                  <c:v>80474.842967768709</c:v>
                </c:pt>
                <c:pt idx="6">
                  <c:v>113837.50569210158</c:v>
                </c:pt>
                <c:pt idx="7">
                  <c:v>161031.41334975339</c:v>
                </c:pt>
                <c:pt idx="8">
                  <c:v>227790.62074282891</c:v>
                </c:pt>
                <c:pt idx="9">
                  <c:v>322226.3645274202</c:v>
                </c:pt>
                <c:pt idx="10">
                  <c:v>455812.57761169935</c:v>
                </c:pt>
                <c:pt idx="11">
                  <c:v>644779.97079392138</c:v>
                </c:pt>
                <c:pt idx="12">
                  <c:v>912088.06241229805</c:v>
                </c:pt>
                <c:pt idx="13">
                  <c:v>1290214.7574011814</c:v>
                </c:pt>
                <c:pt idx="14">
                  <c:v>1825102.4093146208</c:v>
                </c:pt>
                <c:pt idx="15">
                  <c:v>2581739.8114369013</c:v>
                </c:pt>
                <c:pt idx="16">
                  <c:v>3652058.3283111723</c:v>
                </c:pt>
                <c:pt idx="17">
                  <c:v>5166101.5468339613</c:v>
                </c:pt>
              </c:numCache>
            </c:numRef>
          </c:val>
          <c:extLst>
            <c:ext xmlns:c16="http://schemas.microsoft.com/office/drawing/2014/chart" uri="{C3380CC4-5D6E-409C-BE32-E72D297353CC}">
              <c16:uniqueId val="{00000004-5D5D-F54A-AF00-6A60FFE2B3FB}"/>
            </c:ext>
          </c:extLst>
        </c:ser>
        <c:ser>
          <c:idx val="5"/>
          <c:order val="5"/>
          <c:tx>
            <c:strRef>
              <c:f>Graphs!$C$14:$D$14</c:f>
              <c:strCache>
                <c:ptCount val="2"/>
                <c:pt idx="0">
                  <c:v>R&amp;D</c:v>
                </c:pt>
                <c:pt idx="1">
                  <c:v> $-   </c:v>
                </c:pt>
              </c:strCache>
            </c:strRef>
          </c:tx>
          <c:spPr>
            <a:solidFill>
              <a:schemeClr val="accent5">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Graphs!$E$14:$V$14</c:f>
              <c:numCache>
                <c:formatCode>_("$"* #,##0_);_("$"* \(#,##0\);_("$"* "-"??_);_(@_)</c:formatCode>
                <c:ptCount val="18"/>
                <c:pt idx="0">
                  <c:v>0</c:v>
                </c:pt>
                <c:pt idx="1">
                  <c:v>1343</c:v>
                </c:pt>
                <c:pt idx="2">
                  <c:v>1491</c:v>
                </c:pt>
                <c:pt idx="3">
                  <c:v>2593</c:v>
                </c:pt>
                <c:pt idx="4">
                  <c:v>3694.1204536726441</c:v>
                </c:pt>
                <c:pt idx="5">
                  <c:v>5262.8329835104441</c:v>
                </c:pt>
                <c:pt idx="6">
                  <c:v>7497.7011063050359</c:v>
                </c:pt>
                <c:pt idx="7">
                  <c:v>10681.608566265117</c:v>
                </c:pt>
                <c:pt idx="8">
                  <c:v>15217.566017263747</c:v>
                </c:pt>
                <c:pt idx="9">
                  <c:v>21679.723054179623</c:v>
                </c:pt>
                <c:pt idx="10">
                  <c:v>30886.042562438608</c:v>
                </c:pt>
                <c:pt idx="11">
                  <c:v>44001.83631427239</c:v>
                </c:pt>
                <c:pt idx="12">
                  <c:v>62687.267075861688</c:v>
                </c:pt>
                <c:pt idx="13">
                  <c:v>89307.487655140911</c:v>
                </c:pt>
                <c:pt idx="14">
                  <c:v>127232.01573967343</c:v>
                </c:pt>
                <c:pt idx="15">
                  <c:v>181261.23860621959</c:v>
                </c:pt>
                <c:pt idx="16">
                  <c:v>258234.03354927624</c:v>
                </c:pt>
                <c:pt idx="17">
                  <c:v>367893.41502844932</c:v>
                </c:pt>
              </c:numCache>
            </c:numRef>
          </c:val>
          <c:extLst>
            <c:ext xmlns:c16="http://schemas.microsoft.com/office/drawing/2014/chart" uri="{C3380CC4-5D6E-409C-BE32-E72D297353CC}">
              <c16:uniqueId val="{00000005-5D5D-F54A-AF00-6A60FFE2B3FB}"/>
            </c:ext>
          </c:extLst>
        </c:ser>
        <c:ser>
          <c:idx val="6"/>
          <c:order val="6"/>
          <c:tx>
            <c:strRef>
              <c:f>Graphs!$C$15:$D$15</c:f>
              <c:strCache>
                <c:ptCount val="2"/>
                <c:pt idx="0">
                  <c:v>SG&amp;A</c:v>
                </c:pt>
                <c:pt idx="1">
                  <c:v> $-   </c:v>
                </c:pt>
              </c:strCache>
            </c:strRef>
          </c:tx>
          <c:spPr>
            <a:solidFill>
              <a:schemeClr val="accent1">
                <a:lumMod val="80000"/>
                <a:lumOff val="2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Graphs!$E$15:$V$15</c:f>
              <c:numCache>
                <c:formatCode>_("$"* #,##0_);_("$"* \(#,##0\);_("$"* "-"??_);_(@_)</c:formatCode>
                <c:ptCount val="18"/>
                <c:pt idx="0">
                  <c:v>0</c:v>
                </c:pt>
                <c:pt idx="1">
                  <c:v>2646</c:v>
                </c:pt>
                <c:pt idx="2">
                  <c:v>3145</c:v>
                </c:pt>
                <c:pt idx="3">
                  <c:v>4517</c:v>
                </c:pt>
                <c:pt idx="4">
                  <c:v>5928.1888502548163</c:v>
                </c:pt>
                <c:pt idx="5">
                  <c:v>7780.2574815774897</c:v>
                </c:pt>
                <c:pt idx="6">
                  <c:v>10210.944355634114</c:v>
                </c:pt>
                <c:pt idx="7">
                  <c:v>13401.019809529003</c:v>
                </c:pt>
                <c:pt idx="8">
                  <c:v>17587.729957249005</c:v>
                </c:pt>
                <c:pt idx="9">
                  <c:v>23082.440698219209</c:v>
                </c:pt>
                <c:pt idx="10">
                  <c:v>30293.794019006225</c:v>
                </c:pt>
                <c:pt idx="11">
                  <c:v>39758.098723796495</c:v>
                </c:pt>
                <c:pt idx="12">
                  <c:v>52179.215754204255</c:v>
                </c:pt>
                <c:pt idx="13">
                  <c:v>68480.904372174919</c:v>
                </c:pt>
                <c:pt idx="14">
                  <c:v>89875.522194928853</c:v>
                </c:pt>
                <c:pt idx="15">
                  <c:v>117954.18830790491</c:v>
                </c:pt>
                <c:pt idx="16">
                  <c:v>154805.11489213613</c:v>
                </c:pt>
                <c:pt idx="17">
                  <c:v>203168.90769669632</c:v>
                </c:pt>
              </c:numCache>
            </c:numRef>
          </c:val>
          <c:extLst>
            <c:ext xmlns:c16="http://schemas.microsoft.com/office/drawing/2014/chart" uri="{C3380CC4-5D6E-409C-BE32-E72D297353CC}">
              <c16:uniqueId val="{00000006-5D5D-F54A-AF00-6A60FFE2B3FB}"/>
            </c:ext>
          </c:extLst>
        </c:ser>
        <c:dLbls>
          <c:showLegendKey val="0"/>
          <c:showVal val="0"/>
          <c:showCatName val="0"/>
          <c:showSerName val="0"/>
          <c:showPercent val="0"/>
          <c:showBubbleSize val="0"/>
        </c:dLbls>
        <c:gapWidth val="219"/>
        <c:overlap val="-27"/>
        <c:axId val="2084045375"/>
        <c:axId val="2093449663"/>
        <c:extLst>
          <c:ext xmlns:c15="http://schemas.microsoft.com/office/drawing/2012/chart" uri="{02D57815-91ED-43cb-92C2-25804820EDAC}">
            <c15:filteredBarSeries>
              <c15:ser>
                <c:idx val="0"/>
                <c:order val="0"/>
                <c:tx>
                  <c:strRef>
                    <c:extLst>
                      <c:ext uri="{02D57815-91ED-43cb-92C2-25804820EDAC}">
                        <c15:formulaRef>
                          <c15:sqref>Graphs!$C$9:$D$9</c15:sqref>
                        </c15:formulaRef>
                      </c:ext>
                    </c:extLst>
                    <c:strCache>
                      <c:ptCount val="2"/>
                    </c:strCache>
                  </c:strRef>
                </c:tx>
                <c:spPr>
                  <a:solidFill>
                    <a:schemeClr val="accent1"/>
                  </a:solidFill>
                  <a:ln>
                    <a:noFill/>
                  </a:ln>
                  <a:effectLst/>
                </c:spPr>
                <c:invertIfNegative val="0"/>
                <c:cat>
                  <c:numRef>
                    <c:extLst>
                      <c:ext uri="{02D57815-91ED-43cb-92C2-25804820EDAC}">
                        <c15:formulaRef>
                          <c15:sqref>Graphs!$E$8:$V$8</c15:sqref>
                        </c15:formulaRef>
                      </c:ext>
                    </c:extLst>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extLst>
                      <c:ext uri="{02D57815-91ED-43cb-92C2-25804820EDAC}">
                        <c15:formulaRef>
                          <c15:sqref>Graphs!$E$9:$V$9</c15:sqref>
                        </c15:formulaRef>
                      </c:ext>
                    </c:extLst>
                    <c:numCache>
                      <c:formatCode>General</c:formatCode>
                      <c:ptCount val="18"/>
                    </c:numCache>
                  </c:numRef>
                </c:val>
                <c:extLst>
                  <c:ext xmlns:c16="http://schemas.microsoft.com/office/drawing/2014/chart" uri="{C3380CC4-5D6E-409C-BE32-E72D297353CC}">
                    <c16:uniqueId val="{00000000-5D5D-F54A-AF00-6A60FFE2B3F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Graphs!$C$10:$D$10</c15:sqref>
                        </c15:formulaRef>
                      </c:ext>
                    </c:extLst>
                    <c:strCache>
                      <c:ptCount val="2"/>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Graphs!$E$8:$V$8</c15:sqref>
                        </c15:formulaRef>
                      </c:ext>
                    </c:extLst>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extLst xmlns:c15="http://schemas.microsoft.com/office/drawing/2012/chart">
                      <c:ext xmlns:c15="http://schemas.microsoft.com/office/drawing/2012/chart" uri="{02D57815-91ED-43cb-92C2-25804820EDAC}">
                        <c15:formulaRef>
                          <c15:sqref>Graphs!$E$10:$V$10</c15:sqref>
                        </c15:formulaRef>
                      </c:ext>
                    </c:extLst>
                    <c:numCache>
                      <c:formatCode>General</c:formatCode>
                      <c:ptCount val="18"/>
                    </c:numCache>
                  </c:numRef>
                </c:val>
                <c:extLst xmlns:c15="http://schemas.microsoft.com/office/drawing/2012/chart">
                  <c:ext xmlns:c16="http://schemas.microsoft.com/office/drawing/2014/chart" uri="{C3380CC4-5D6E-409C-BE32-E72D297353CC}">
                    <c16:uniqueId val="{00000001-5D5D-F54A-AF00-6A60FFE2B3F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Graphs!$C$11:$D$11</c15:sqref>
                        </c15:formulaRef>
                      </c:ext>
                    </c:extLst>
                    <c:strCache>
                      <c:ptCount val="2"/>
                      <c:pt idx="0">
                        <c:v>Key Metrics (Historical and Projected)</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Graphs!$E$8:$V$8</c15:sqref>
                        </c15:formulaRef>
                      </c:ext>
                    </c:extLst>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extLst xmlns:c15="http://schemas.microsoft.com/office/drawing/2012/chart">
                      <c:ext xmlns:c15="http://schemas.microsoft.com/office/drawing/2012/chart" uri="{02D57815-91ED-43cb-92C2-25804820EDAC}">
                        <c15:formulaRef>
                          <c15:sqref>Graphs!$E$11:$V$11</c15:sqref>
                        </c15:formulaRef>
                      </c:ext>
                    </c:extLst>
                    <c:numCache>
                      <c:formatCode>General</c:formatCode>
                      <c:ptCount val="18"/>
                    </c:numCache>
                  </c:numRef>
                </c:val>
                <c:extLst xmlns:c15="http://schemas.microsoft.com/office/drawing/2012/chart">
                  <c:ext xmlns:c16="http://schemas.microsoft.com/office/drawing/2014/chart" uri="{C3380CC4-5D6E-409C-BE32-E72D297353CC}">
                    <c16:uniqueId val="{00000002-5D5D-F54A-AF00-6A60FFE2B3FB}"/>
                  </c:ext>
                </c:extLst>
              </c15:ser>
            </c15:filteredBarSeries>
          </c:ext>
        </c:extLst>
      </c:barChart>
      <c:catAx>
        <c:axId val="20840453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2093449663"/>
        <c:crosses val="autoZero"/>
        <c:auto val="1"/>
        <c:lblAlgn val="ctr"/>
        <c:lblOffset val="100"/>
        <c:noMultiLvlLbl val="0"/>
      </c:catAx>
      <c:valAx>
        <c:axId val="209344966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0840453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r>
              <a:rPr lang="en-US" sz="2350" b="1">
                <a:solidFill>
                  <a:schemeClr val="tx1"/>
                </a:solidFill>
              </a:rPr>
              <a:t>Revenue Compared to Operating Income Metrics (H&amp;P, </a:t>
            </a:r>
            <a:r>
              <a:rPr lang="en-US" sz="2350" b="1" i="0" u="none" strike="noStrike" baseline="0">
                <a:effectLst/>
              </a:rPr>
              <a:t>in millions</a:t>
            </a:r>
            <a:r>
              <a:rPr lang="en-US" sz="2350" b="1" i="0" u="none" strike="noStrike" baseline="0"/>
              <a:t> </a:t>
            </a:r>
            <a:r>
              <a:rPr lang="en-US" sz="2350" b="1">
                <a:solidFill>
                  <a:schemeClr val="tx1"/>
                </a:solidFill>
              </a:rPr>
              <a:t>)</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tx>
            <c:strRef>
              <c:f>Graphs!$C$18:$D$18</c:f>
              <c:strCache>
                <c:ptCount val="2"/>
                <c:pt idx="0">
                  <c:v>Revenue (Gross)</c:v>
                </c:pt>
                <c:pt idx="1">
                  <c:v> $-   </c:v>
                </c:pt>
              </c:strCache>
            </c:strRef>
          </c:tx>
          <c:spPr>
            <a:solidFill>
              <a:schemeClr val="accent1"/>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Graphs!$E$18:$V$18</c:f>
              <c:numCache>
                <c:formatCode>_("$"* #,##0_);_("$"* \(#,##0\);_("$"* "-"??_);_(@_)</c:formatCode>
                <c:ptCount val="18"/>
                <c:pt idx="0">
                  <c:v>0</c:v>
                </c:pt>
                <c:pt idx="1">
                  <c:v>24578</c:v>
                </c:pt>
                <c:pt idx="2">
                  <c:v>31536</c:v>
                </c:pt>
                <c:pt idx="3">
                  <c:v>53823</c:v>
                </c:pt>
                <c:pt idx="4">
                  <c:v>80460.402069408781</c:v>
                </c:pt>
                <c:pt idx="5">
                  <c:v>120280.85207385173</c:v>
                </c:pt>
                <c:pt idx="6">
                  <c:v>179808.73825526616</c:v>
                </c:pt>
                <c:pt idx="7">
                  <c:v>268797.41700781824</c:v>
                </c:pt>
                <c:pt idx="8">
                  <c:v>401827.25317554938</c:v>
                </c:pt>
                <c:pt idx="9">
                  <c:v>600694.54235086893</c:v>
                </c:pt>
                <c:pt idx="10">
                  <c:v>897982.72854449612</c:v>
                </c:pt>
                <c:pt idx="11">
                  <c:v>1342401.0439788736</c:v>
                </c:pt>
                <c:pt idx="12">
                  <c:v>2006765.2813283221</c:v>
                </c:pt>
                <c:pt idx="13">
                  <c:v>2999928.3093585833</c:v>
                </c:pt>
                <c:pt idx="14">
                  <c:v>4484615.08928141</c:v>
                </c:pt>
                <c:pt idx="15">
                  <c:v>6704084.3730397755</c:v>
                </c:pt>
                <c:pt idx="16">
                  <c:v>10021985.473905591</c:v>
                </c:pt>
                <c:pt idx="17">
                  <c:v>14981940.448585516</c:v>
                </c:pt>
              </c:numCache>
            </c:numRef>
          </c:val>
          <c:extLst>
            <c:ext xmlns:c16="http://schemas.microsoft.com/office/drawing/2014/chart" uri="{C3380CC4-5D6E-409C-BE32-E72D297353CC}">
              <c16:uniqueId val="{00000000-9742-724C-B50D-56089B49C417}"/>
            </c:ext>
          </c:extLst>
        </c:ser>
        <c:ser>
          <c:idx val="1"/>
          <c:order val="1"/>
          <c:tx>
            <c:strRef>
              <c:f>Graphs!$C$19:$D$19</c:f>
              <c:strCache>
                <c:ptCount val="2"/>
                <c:pt idx="0">
                  <c:v>EBITDA</c:v>
                </c:pt>
                <c:pt idx="1">
                  <c:v> $-   </c:v>
                </c:pt>
              </c:strCache>
            </c:strRef>
          </c:tx>
          <c:spPr>
            <a:solidFill>
              <a:schemeClr val="accent3"/>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Graphs!$E$19:$V$19</c:f>
              <c:numCache>
                <c:formatCode>_("$"* #,##0_);_("$"* \(#,##0\);_("$"* "-"??_);_(@_)</c:formatCode>
                <c:ptCount val="18"/>
                <c:pt idx="0">
                  <c:v>0</c:v>
                </c:pt>
                <c:pt idx="1">
                  <c:v>80</c:v>
                </c:pt>
                <c:pt idx="2">
                  <c:v>1993.6754052767319</c:v>
                </c:pt>
                <c:pt idx="3">
                  <c:v>6494.6461472601804</c:v>
                </c:pt>
                <c:pt idx="4">
                  <c:v>13947.38836670517</c:v>
                </c:pt>
                <c:pt idx="5">
                  <c:v>26762.079417263551</c:v>
                </c:pt>
                <c:pt idx="6">
                  <c:v>48261.747877493908</c:v>
                </c:pt>
                <c:pt idx="7">
                  <c:v>83682.536058539146</c:v>
                </c:pt>
                <c:pt idx="8">
                  <c:v>141230.49723447615</c:v>
                </c:pt>
                <c:pt idx="9">
                  <c:v>233705.17484731833</c:v>
                </c:pt>
                <c:pt idx="10">
                  <c:v>380989.47512762039</c:v>
                </c:pt>
                <c:pt idx="11">
                  <c:v>613860.2989231518</c:v>
                </c:pt>
                <c:pt idx="12">
                  <c:v>979809.89686222654</c:v>
                </c:pt>
                <c:pt idx="13">
                  <c:v>1551924.3207063545</c:v>
                </c:pt>
                <c:pt idx="14">
                  <c:v>2442404.3028084552</c:v>
                </c:pt>
                <c:pt idx="15">
                  <c:v>3823128.2954650177</c:v>
                </c:pt>
                <c:pt idx="16">
                  <c:v>5956887.1579292752</c:v>
                </c:pt>
                <c:pt idx="17">
                  <c:v>9244775.7398026772</c:v>
                </c:pt>
              </c:numCache>
            </c:numRef>
          </c:val>
          <c:extLst>
            <c:ext xmlns:c16="http://schemas.microsoft.com/office/drawing/2014/chart" uri="{C3380CC4-5D6E-409C-BE32-E72D297353CC}">
              <c16:uniqueId val="{00000001-9742-724C-B50D-56089B49C417}"/>
            </c:ext>
          </c:extLst>
        </c:ser>
        <c:ser>
          <c:idx val="2"/>
          <c:order val="2"/>
          <c:tx>
            <c:strRef>
              <c:f>Graphs!$C$20:$D$20</c:f>
              <c:strCache>
                <c:ptCount val="2"/>
                <c:pt idx="0">
                  <c:v>EBIT</c:v>
                </c:pt>
                <c:pt idx="1">
                  <c:v> $-   </c:v>
                </c:pt>
              </c:strCache>
            </c:strRef>
          </c:tx>
          <c:spPr>
            <a:solidFill>
              <a:schemeClr val="accent5"/>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Graphs!$E$20:$V$20</c:f>
              <c:numCache>
                <c:formatCode>_("$"* #,##0_);_("$"* \(#,##0\);_("$"* "-"??_);_(@_)</c:formatCode>
                <c:ptCount val="18"/>
                <c:pt idx="0">
                  <c:v>0</c:v>
                </c:pt>
                <c:pt idx="1">
                  <c:v>-818</c:v>
                </c:pt>
                <c:pt idx="2">
                  <c:v>259.67540527673191</c:v>
                </c:pt>
                <c:pt idx="3">
                  <c:v>4373.6461472601804</c:v>
                </c:pt>
                <c:pt idx="4">
                  <c:v>10602.421756937983</c:v>
                </c:pt>
                <c:pt idx="5">
                  <c:v>21486.83112850476</c:v>
                </c:pt>
                <c:pt idx="6">
                  <c:v>39942.309223967437</c:v>
                </c:pt>
                <c:pt idx="7">
                  <c:v>70562.19447058416</c:v>
                </c:pt>
                <c:pt idx="8">
                  <c:v>120538.7930758485</c:v>
                </c:pt>
                <c:pt idx="9">
                  <c:v>201072.89785071751</c:v>
                </c:pt>
                <c:pt idx="10">
                  <c:v>329526.07250890112</c:v>
                </c:pt>
                <c:pt idx="11">
                  <c:v>532698.88290022803</c:v>
                </c:pt>
                <c:pt idx="12">
                  <c:v>851812.61888103676</c:v>
                </c:pt>
                <c:pt idx="13">
                  <c:v>1350063.5847383353</c:v>
                </c:pt>
                <c:pt idx="14">
                  <c:v>2124055.6834609518</c:v>
                </c:pt>
                <c:pt idx="15">
                  <c:v>3321070.0672788401</c:v>
                </c:pt>
                <c:pt idx="16">
                  <c:v>5165105.9182113875</c:v>
                </c:pt>
                <c:pt idx="17">
                  <c:v>7996080.8745992808</c:v>
                </c:pt>
              </c:numCache>
            </c:numRef>
          </c:val>
          <c:extLst>
            <c:ext xmlns:c16="http://schemas.microsoft.com/office/drawing/2014/chart" uri="{C3380CC4-5D6E-409C-BE32-E72D297353CC}">
              <c16:uniqueId val="{00000002-9742-724C-B50D-56089B49C417}"/>
            </c:ext>
          </c:extLst>
        </c:ser>
        <c:ser>
          <c:idx val="3"/>
          <c:order val="3"/>
          <c:tx>
            <c:strRef>
              <c:f>Graphs!$C$21:$D$21</c:f>
              <c:strCache>
                <c:ptCount val="2"/>
                <c:pt idx="0">
                  <c:v>Unlevered Free Cash Flow</c:v>
                </c:pt>
                <c:pt idx="1">
                  <c:v> $-   </c:v>
                </c:pt>
              </c:strCache>
            </c:strRef>
          </c:tx>
          <c:spPr>
            <a:solidFill>
              <a:schemeClr val="accent1">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Graphs!$E$21:$V$21</c:f>
              <c:numCache>
                <c:formatCode>_("$"* #,##0_);_("$"* \(#,##0\);_("$"* "-"??_);_(@_)</c:formatCode>
                <c:ptCount val="18"/>
                <c:pt idx="0">
                  <c:v>0</c:v>
                </c:pt>
                <c:pt idx="1">
                  <c:v>-1462</c:v>
                </c:pt>
                <c:pt idx="2">
                  <c:v>-13999.324594723268</c:v>
                </c:pt>
                <c:pt idx="3">
                  <c:v>2855.6461472601804</c:v>
                </c:pt>
                <c:pt idx="4">
                  <c:v>19874.230428338826</c:v>
                </c:pt>
                <c:pt idx="5">
                  <c:v>34635.199750438005</c:v>
                </c:pt>
                <c:pt idx="6">
                  <c:v>58472.779745522486</c:v>
                </c:pt>
                <c:pt idx="7">
                  <c:v>96501.949076622303</c:v>
                </c:pt>
                <c:pt idx="8">
                  <c:v>156554.5200784466</c:v>
                </c:pt>
                <c:pt idx="9">
                  <c:v>250548.28540479662</c:v>
                </c:pt>
                <c:pt idx="10">
                  <c:v>396504.97732958145</c:v>
                </c:pt>
                <c:pt idx="11">
                  <c:v>621496.73368378973</c:v>
                </c:pt>
                <c:pt idx="12">
                  <c:v>965899.61118786107</c:v>
                </c:pt>
                <c:pt idx="13">
                  <c:v>1489446.9778854644</c:v>
                </c:pt>
                <c:pt idx="14">
                  <c:v>2279686.108760613</c:v>
                </c:pt>
                <c:pt idx="15">
                  <c:v>3463498.1755924118</c:v>
                </c:pt>
                <c:pt idx="16">
                  <c:v>5222233.2287211334</c:v>
                </c:pt>
                <c:pt idx="17">
                  <c:v>7810504.383934794</c:v>
                </c:pt>
              </c:numCache>
            </c:numRef>
          </c:val>
          <c:extLst>
            <c:ext xmlns:c16="http://schemas.microsoft.com/office/drawing/2014/chart" uri="{C3380CC4-5D6E-409C-BE32-E72D297353CC}">
              <c16:uniqueId val="{00000003-9742-724C-B50D-56089B49C417}"/>
            </c:ext>
          </c:extLst>
        </c:ser>
        <c:dLbls>
          <c:showLegendKey val="0"/>
          <c:showVal val="0"/>
          <c:showCatName val="0"/>
          <c:showSerName val="0"/>
          <c:showPercent val="0"/>
          <c:showBubbleSize val="0"/>
        </c:dLbls>
        <c:gapWidth val="150"/>
        <c:axId val="2027767423"/>
        <c:axId val="2089057887"/>
      </c:barChart>
      <c:catAx>
        <c:axId val="202776742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2089057887"/>
        <c:crosses val="autoZero"/>
        <c:auto val="1"/>
        <c:lblAlgn val="ctr"/>
        <c:lblOffset val="100"/>
        <c:noMultiLvlLbl val="0"/>
      </c:catAx>
      <c:valAx>
        <c:axId val="208905788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027767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63500</xdr:rowOff>
    </xdr:from>
    <xdr:to>
      <xdr:col>5</xdr:col>
      <xdr:colOff>12700</xdr:colOff>
      <xdr:row>18</xdr:row>
      <xdr:rowOff>127469</xdr:rowOff>
    </xdr:to>
    <xdr:pic>
      <xdr:nvPicPr>
        <xdr:cNvPr id="2" name="Picture 1">
          <a:extLst>
            <a:ext uri="{FF2B5EF4-FFF2-40B4-BE49-F238E27FC236}">
              <a16:creationId xmlns:a16="http://schemas.microsoft.com/office/drawing/2014/main" id="{94D02727-D02C-E547-8D25-12363DB44180}"/>
            </a:ext>
          </a:extLst>
        </xdr:cNvPr>
        <xdr:cNvPicPr>
          <a:picLocks noChangeAspect="1"/>
        </xdr:cNvPicPr>
      </xdr:nvPicPr>
      <xdr:blipFill>
        <a:blip xmlns:r="http://schemas.openxmlformats.org/officeDocument/2006/relationships" r:embed="rId1"/>
        <a:stretch>
          <a:fillRect/>
        </a:stretch>
      </xdr:blipFill>
      <xdr:spPr>
        <a:xfrm>
          <a:off x="228600" y="63500"/>
          <a:ext cx="8280400" cy="37037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438679</xdr:colOff>
      <xdr:row>24</xdr:row>
      <xdr:rowOff>159808</xdr:rowOff>
    </xdr:from>
    <xdr:to>
      <xdr:col>10</xdr:col>
      <xdr:colOff>711729</xdr:colOff>
      <xdr:row>49</xdr:row>
      <xdr:rowOff>166158</xdr:rowOff>
    </xdr:to>
    <xdr:graphicFrame macro="">
      <xdr:nvGraphicFramePr>
        <xdr:cNvPr id="2" name="Chart 1">
          <a:extLst>
            <a:ext uri="{FF2B5EF4-FFF2-40B4-BE49-F238E27FC236}">
              <a16:creationId xmlns:a16="http://schemas.microsoft.com/office/drawing/2014/main" id="{A586F284-9A88-5E06-98B2-7690B68ADD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656696</xdr:colOff>
      <xdr:row>24</xdr:row>
      <xdr:rowOff>171979</xdr:rowOff>
    </xdr:from>
    <xdr:to>
      <xdr:col>21</xdr:col>
      <xdr:colOff>993246</xdr:colOff>
      <xdr:row>49</xdr:row>
      <xdr:rowOff>51329</xdr:rowOff>
    </xdr:to>
    <xdr:graphicFrame macro="">
      <xdr:nvGraphicFramePr>
        <xdr:cNvPr id="3" name="Chart 2">
          <a:extLst>
            <a:ext uri="{FF2B5EF4-FFF2-40B4-BE49-F238E27FC236}">
              <a16:creationId xmlns:a16="http://schemas.microsoft.com/office/drawing/2014/main" id="{78D5FF83-0559-283B-763A-12B8ED7543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https://www.bing.com/financeapi/forcetrigger?t=a24kar&amp;q=XNAS%3aTSLA&amp;form=skydnc</v>
    <v>Learn more on Bing</v>
  </rv>
  <rv s="1">
    <v>0</v>
    <v>TESLA, INC. (XNAS:TSLA)</v>
    <v>2</v>
    <v>3</v>
    <v>Finance</v>
    <v>4</v>
    <v>en-US</v>
    <v>a24kar</v>
    <v>268435456</v>
    <v>1</v>
    <v>Powered by Refinitiv</v>
    <v>1243.49</v>
    <v>571.22</v>
    <v>2.2088999999999999</v>
    <v>30.64</v>
    <v>4.8777000000000001E-2</v>
    <v>-2.11</v>
    <v>-3.2029999999999997E-3</v>
    <v>USD</v>
    <v>Tesla, Inc. designs, develops, manufactures, sells and leases fully electric vehicles and energy generation and storage systems, and offer services related to its products. The Company's automotive segment includes the design, development, manufacturing, sales, and leasing of electric vehicles as well as sales of automotive regulatory credits. Additionally, the automotive segment is also comprised of services and other, which includes non-warranty after-sales vehicle services, sales of used vehicles, retail merchandise, sales by its acquired subsidiaries to third party customers, and vehicle insurance. Its energy generation and storage segment includes the design, manufacture, installation, sales and leasing of solar energy generation and energy storage products and related services and sales of solar energy systems incentives. Its automotive products include Model 3, Model Y, Model S and Model X. Powerwall and Megapack are its lithium-ion battery energy storage products.</v>
    <v>99290</v>
    <v>Nasdaq Stock Market</v>
    <v>XNAS</v>
    <v>XNAS</v>
    <v>13101 Harold Green Road, AUSTIN, TX, 78725 US</v>
    <v>669.32</v>
    <v>Automobiles &amp; Auto Parts</v>
    <v>Stock</v>
    <v>44706.970536469533</v>
    <v>0</v>
    <v>623.01009999999997</v>
    <v>682523388000</v>
    <v>TESLA, INC.</v>
    <v>TESLA, INC.</v>
    <v>623.85</v>
    <v>84.903899999999993</v>
    <v>628.16</v>
    <v>658.8</v>
    <v>656.69</v>
    <v>1036010000</v>
    <v>TSLA</v>
    <v>TESLA, INC. (XNAS:TSLA)</v>
    <v>30680277</v>
    <v>30656088</v>
    <v>2003</v>
  </rv>
  <rv s="2">
    <v>1</v>
  </rv>
</rvData>
</file>

<file path=xl/richData/rdrichvaluestructure.xml><?xml version="1.0" encoding="utf-8"?>
<rvStructures xmlns="http://schemas.microsoft.com/office/spreadsheetml/2017/richdata" count="3">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hange (Extended hours)"/>
    <k n="Change %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 h:mm"/>
    </x:dxf>
    <x:dxf>
      <x:numFmt numFmtId="14" formatCode="0.00%"/>
    </x:dxf>
    <x:dxf>
      <x:numFmt numFmtId="3" formatCode="#,##0"/>
    </x:dxf>
    <x:dxf>
      <x:numFmt numFmtId="4" formatCode="#,##0.00"/>
    </x:dxf>
    <x:dxf>
      <x:numFmt numFmtId="1" formatCode="0"/>
    </x:dxf>
  </dxfs>
  <richProperties>
    <rPr n="NumberFormat" t="s"/>
    <rPr n="IsTitle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ec.gov/Archives/edgar/data/1318605/000095017022000796/tsla-20211231.htm" TargetMode="External"/><Relationship Id="rId2" Type="http://schemas.openxmlformats.org/officeDocument/2006/relationships/hyperlink" Target="https://www.sec.gov/edgar.shtml" TargetMode="External"/><Relationship Id="rId1" Type="http://schemas.openxmlformats.org/officeDocument/2006/relationships/hyperlink" Target="https://roic.ai/"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8:AA132"/>
  <sheetViews>
    <sheetView showGridLines="0" tabSelected="1" topLeftCell="A13" zoomScale="125" workbookViewId="0">
      <selection activeCell="K22" sqref="K22"/>
    </sheetView>
  </sheetViews>
  <sheetFormatPr baseColWidth="10" defaultColWidth="8.83203125" defaultRowHeight="15" x14ac:dyDescent="0.2"/>
  <cols>
    <col min="1" max="1" width="10.83203125" bestFit="1" customWidth="1"/>
    <col min="2" max="2" width="24.83203125" customWidth="1"/>
    <col min="3" max="3" width="27.1640625" bestFit="1" customWidth="1"/>
    <col min="4" max="4" width="6.6640625" bestFit="1" customWidth="1"/>
    <col min="5" max="5" width="42.1640625" bestFit="1" customWidth="1"/>
    <col min="6" max="6" width="23.33203125" bestFit="1" customWidth="1"/>
    <col min="7" max="7" width="13.6640625" bestFit="1" customWidth="1"/>
    <col min="8" max="8" width="28.83203125" bestFit="1" customWidth="1"/>
    <col min="9" max="9" width="19.33203125" bestFit="1" customWidth="1"/>
    <col min="10" max="10" width="12.33203125" bestFit="1" customWidth="1"/>
    <col min="11" max="11" width="26.83203125" bestFit="1" customWidth="1"/>
    <col min="12" max="12" width="12.5" bestFit="1" customWidth="1"/>
    <col min="13" max="13" width="12.6640625" bestFit="1" customWidth="1"/>
    <col min="14" max="16" width="11.33203125" bestFit="1" customWidth="1"/>
    <col min="17" max="25" width="12.6640625" bestFit="1" customWidth="1"/>
  </cols>
  <sheetData>
    <row r="18" spans="1:27" ht="32" thickBot="1" x14ac:dyDescent="0.4">
      <c r="H18" s="104" t="s">
        <v>0</v>
      </c>
      <c r="I18" s="104"/>
    </row>
    <row r="19" spans="1:27" ht="17" x14ac:dyDescent="0.2">
      <c r="H19" s="73" t="str">
        <f>E126</f>
        <v>Current Share Price</v>
      </c>
      <c r="I19" s="74" cm="1">
        <f t="array" ref="I19">_FV(F33,"price")</f>
        <v>658.8</v>
      </c>
      <c r="J19" s="84">
        <f ca="1">D97-YEAR(F29)</f>
        <v>8</v>
      </c>
    </row>
    <row r="20" spans="1:27" ht="17" x14ac:dyDescent="0.2">
      <c r="H20" s="75" t="str">
        <f>E124</f>
        <v>Implied Share Price in 2030</v>
      </c>
      <c r="I20" s="76">
        <f>G124</f>
        <v>10150.67571444673</v>
      </c>
      <c r="J20" s="105"/>
    </row>
    <row r="21" spans="1:27" ht="17" x14ac:dyDescent="0.2">
      <c r="C21" s="2" t="s">
        <v>1</v>
      </c>
      <c r="H21" s="77" t="str">
        <f>E129</f>
        <v xml:space="preserve"> Undervalued by</v>
      </c>
      <c r="I21" s="78">
        <f>G129</f>
        <v>15.407825917496556</v>
      </c>
    </row>
    <row r="22" spans="1:27" ht="17" x14ac:dyDescent="0.2">
      <c r="C22" s="8" t="s">
        <v>2</v>
      </c>
      <c r="H22" s="106" t="s">
        <v>73</v>
      </c>
      <c r="I22" s="107">
        <f ca="1">IFERROR(_xlfn.RRI(J19,I19,I20),"N/A")</f>
        <v>0.40756244310789413</v>
      </c>
    </row>
    <row r="23" spans="1:27" ht="17" x14ac:dyDescent="0.2">
      <c r="C23" s="8" t="s">
        <v>4</v>
      </c>
      <c r="H23" s="79" t="s">
        <v>3</v>
      </c>
      <c r="I23" s="80" cm="1">
        <f t="array" ref="I23">_FV(F33,"P/E",TRUE)</f>
        <v>84.903899999999993</v>
      </c>
    </row>
    <row r="24" spans="1:27" ht="17" x14ac:dyDescent="0.2">
      <c r="B24" s="5" t="s">
        <v>6</v>
      </c>
      <c r="C24" s="8" t="s">
        <v>7</v>
      </c>
      <c r="H24" s="79" t="s">
        <v>5</v>
      </c>
      <c r="I24" s="81" cm="1">
        <f t="array" ref="I24">_FV(F33,"Shares outstanding",TRUE)</f>
        <v>1036010000</v>
      </c>
    </row>
    <row r="25" spans="1:27" ht="18" thickBot="1" x14ac:dyDescent="0.25">
      <c r="H25" s="82" t="s">
        <v>8</v>
      </c>
      <c r="I25" s="83" cm="1">
        <f t="array" ref="I25">_FV(F33,"Market cap",TRUE)</f>
        <v>682523388000</v>
      </c>
    </row>
    <row r="28" spans="1:27" ht="19" x14ac:dyDescent="0.25">
      <c r="E28" s="7" t="s">
        <v>9</v>
      </c>
    </row>
    <row r="29" spans="1:27" ht="16" x14ac:dyDescent="0.2">
      <c r="A29" s="69" t="s">
        <v>10</v>
      </c>
      <c r="B29" s="84">
        <v>1000000</v>
      </c>
      <c r="E29" s="4" t="s">
        <v>11</v>
      </c>
      <c r="F29" s="54">
        <f ca="1">TODAY()</f>
        <v>44707</v>
      </c>
      <c r="G29" s="55" t="str">
        <f ca="1">IF(G30&lt;YEAR($F$29),"H", "P")</f>
        <v>H</v>
      </c>
      <c r="H29" s="55" t="str">
        <f t="shared" ref="H29:O29" ca="1" si="0">IF(H30&lt;YEAR($F$29),"H", "P")</f>
        <v>H</v>
      </c>
      <c r="I29" s="55" t="str">
        <f t="shared" ca="1" si="0"/>
        <v>H</v>
      </c>
      <c r="J29" s="55" t="str">
        <f t="shared" ca="1" si="0"/>
        <v>H</v>
      </c>
      <c r="K29" s="12" t="s">
        <v>12</v>
      </c>
      <c r="L29" s="55" t="str">
        <f t="shared" ca="1" si="0"/>
        <v>P</v>
      </c>
      <c r="M29" s="55" t="str">
        <f t="shared" ca="1" si="0"/>
        <v>P</v>
      </c>
      <c r="N29" s="55" t="str">
        <f t="shared" ca="1" si="0"/>
        <v>P</v>
      </c>
      <c r="O29" s="55" t="str">
        <f t="shared" ca="1" si="0"/>
        <v>P</v>
      </c>
      <c r="P29" s="55" t="str">
        <f t="shared" ref="P29" ca="1" si="1">IF(P30&lt;YEAR($F$29),"H", "P")</f>
        <v>P</v>
      </c>
      <c r="Q29" s="55" t="str">
        <f t="shared" ref="Q29" ca="1" si="2">IF(Q30&lt;YEAR($F$29),"H", "P")</f>
        <v>P</v>
      </c>
      <c r="R29" s="55" t="str">
        <f t="shared" ref="R29" ca="1" si="3">IF(R30&lt;YEAR($F$29),"H", "P")</f>
        <v>P</v>
      </c>
      <c r="S29" s="55" t="str">
        <f t="shared" ref="S29" ca="1" si="4">IF(S30&lt;YEAR($F$29),"H", "P")</f>
        <v>P</v>
      </c>
      <c r="T29" s="55" t="str">
        <f t="shared" ref="T29" ca="1" si="5">IF(T30&lt;YEAR($F$29),"H", "P")</f>
        <v>P</v>
      </c>
      <c r="U29" s="55" t="str">
        <f t="shared" ref="U29" ca="1" si="6">IF(U30&lt;YEAR($F$29),"H", "P")</f>
        <v>P</v>
      </c>
      <c r="V29" s="55" t="str">
        <f t="shared" ref="V29" ca="1" si="7">IF(V30&lt;YEAR($F$29),"H", "P")</f>
        <v>P</v>
      </c>
      <c r="W29" s="55" t="str">
        <f t="shared" ref="W29" ca="1" si="8">IF(W30&lt;YEAR($F$29),"H", "P")</f>
        <v>P</v>
      </c>
      <c r="X29" s="55" t="str">
        <f t="shared" ref="X29" ca="1" si="9">IF(X30&lt;YEAR($F$29),"H", "P")</f>
        <v>P</v>
      </c>
      <c r="Y29" s="55" t="str">
        <f t="shared" ref="Y29" ca="1" si="10">IF(Y30&lt;YEAR($F$29),"H", "P")</f>
        <v>P</v>
      </c>
      <c r="Z29" s="86"/>
      <c r="AA29" s="86"/>
    </row>
    <row r="30" spans="1:27" ht="16" x14ac:dyDescent="0.2">
      <c r="A30" s="69" t="s">
        <v>13</v>
      </c>
      <c r="B30" s="84">
        <v>1000</v>
      </c>
      <c r="E30" s="4" t="s">
        <v>14</v>
      </c>
      <c r="F30" s="56">
        <v>2017</v>
      </c>
      <c r="G30" s="55">
        <f>F30+1</f>
        <v>2018</v>
      </c>
      <c r="H30" s="55">
        <f t="shared" ref="H30:O30" si="11">G30+1</f>
        <v>2019</v>
      </c>
      <c r="I30" s="55">
        <f t="shared" si="11"/>
        <v>2020</v>
      </c>
      <c r="J30" s="55">
        <f t="shared" si="11"/>
        <v>2021</v>
      </c>
      <c r="K30" s="57"/>
      <c r="L30" s="55">
        <f>J30+1</f>
        <v>2022</v>
      </c>
      <c r="M30" s="55">
        <f t="shared" si="11"/>
        <v>2023</v>
      </c>
      <c r="N30" s="55">
        <f t="shared" si="11"/>
        <v>2024</v>
      </c>
      <c r="O30" s="55">
        <f t="shared" si="11"/>
        <v>2025</v>
      </c>
      <c r="P30" s="55">
        <f t="shared" ref="P30:U30" si="12">O30+1</f>
        <v>2026</v>
      </c>
      <c r="Q30" s="55">
        <f t="shared" si="12"/>
        <v>2027</v>
      </c>
      <c r="R30" s="55">
        <f t="shared" si="12"/>
        <v>2028</v>
      </c>
      <c r="S30" s="55">
        <f t="shared" si="12"/>
        <v>2029</v>
      </c>
      <c r="T30" s="55">
        <f t="shared" si="12"/>
        <v>2030</v>
      </c>
      <c r="U30" s="55">
        <f t="shared" si="12"/>
        <v>2031</v>
      </c>
      <c r="V30" s="55">
        <f t="shared" ref="V30:Y30" si="13">U30+1</f>
        <v>2032</v>
      </c>
      <c r="W30" s="55">
        <f t="shared" si="13"/>
        <v>2033</v>
      </c>
      <c r="X30" s="55">
        <f t="shared" si="13"/>
        <v>2034</v>
      </c>
      <c r="Y30" s="55">
        <f t="shared" si="13"/>
        <v>2035</v>
      </c>
      <c r="Z30" s="86"/>
      <c r="AA30" s="86"/>
    </row>
    <row r="31" spans="1:27" ht="16" x14ac:dyDescent="0.2">
      <c r="A31" s="69" t="s">
        <v>15</v>
      </c>
      <c r="B31" s="84">
        <v>1</v>
      </c>
      <c r="E31" s="4" t="s">
        <v>16</v>
      </c>
      <c r="F31" s="58">
        <v>2.4199999999999999E-2</v>
      </c>
      <c r="G31" s="86"/>
      <c r="H31" s="86"/>
      <c r="I31" s="86"/>
      <c r="J31" s="86"/>
      <c r="K31" s="87"/>
      <c r="L31" s="86"/>
      <c r="M31" s="86"/>
      <c r="N31" s="86"/>
      <c r="O31" s="86"/>
      <c r="P31" s="86"/>
      <c r="Q31" s="86"/>
      <c r="R31" s="86"/>
      <c r="S31" s="86"/>
      <c r="T31" s="86"/>
      <c r="U31" s="86"/>
      <c r="V31" s="86"/>
      <c r="W31" s="86"/>
      <c r="X31" s="86"/>
      <c r="Y31" s="86"/>
      <c r="Z31" s="86"/>
      <c r="AA31" s="86"/>
    </row>
    <row r="32" spans="1:27" ht="16" x14ac:dyDescent="0.2">
      <c r="E32" s="4" t="s">
        <v>17</v>
      </c>
      <c r="F32" s="58" t="s">
        <v>18</v>
      </c>
      <c r="G32" s="86"/>
      <c r="H32" s="86"/>
      <c r="I32" s="86"/>
      <c r="J32" s="86"/>
      <c r="K32" s="87"/>
      <c r="L32" s="86"/>
      <c r="M32" s="86"/>
      <c r="N32" s="86"/>
      <c r="O32" s="86"/>
      <c r="P32" s="86"/>
      <c r="Q32" s="86"/>
      <c r="R32" s="86"/>
      <c r="S32" s="86"/>
      <c r="T32" s="86"/>
      <c r="U32" s="86"/>
      <c r="V32" s="86"/>
      <c r="W32" s="86"/>
      <c r="X32" s="86"/>
      <c r="Y32" s="86"/>
      <c r="Z32" s="86"/>
      <c r="AA32" s="86"/>
    </row>
    <row r="33" spans="1:27" ht="16" x14ac:dyDescent="0.2">
      <c r="E33" s="4" t="s">
        <v>19</v>
      </c>
      <c r="F33" s="59" t="e" vm="1">
        <v>#VALUE!</v>
      </c>
      <c r="G33" s="88"/>
      <c r="H33" s="89"/>
      <c r="I33" s="86"/>
      <c r="J33" s="86"/>
      <c r="K33" s="53"/>
      <c r="L33" s="86"/>
      <c r="M33" s="86"/>
      <c r="N33" s="86"/>
      <c r="O33" s="86"/>
      <c r="P33" s="86"/>
      <c r="Q33" s="86"/>
      <c r="R33" s="86"/>
      <c r="S33" s="86"/>
      <c r="T33" s="86"/>
      <c r="U33" s="86"/>
      <c r="V33" s="86"/>
      <c r="W33" s="86"/>
      <c r="X33" s="86"/>
      <c r="Y33" s="86"/>
      <c r="Z33" s="86"/>
      <c r="AA33" s="86"/>
    </row>
    <row r="34" spans="1:27" x14ac:dyDescent="0.2">
      <c r="A34" s="69"/>
      <c r="K34" s="13"/>
    </row>
    <row r="35" spans="1:27" ht="19" x14ac:dyDescent="0.25">
      <c r="A35" s="70" t="s">
        <v>18</v>
      </c>
      <c r="E35" s="7" t="s">
        <v>20</v>
      </c>
      <c r="F35" s="11" t="s">
        <v>10</v>
      </c>
      <c r="K35" s="13"/>
    </row>
    <row r="36" spans="1:27" ht="16" x14ac:dyDescent="0.2">
      <c r="A36" s="70" t="s">
        <v>21</v>
      </c>
      <c r="C36" s="86"/>
      <c r="D36" s="86"/>
      <c r="E36" s="32" t="s">
        <v>22</v>
      </c>
      <c r="F36" s="33">
        <v>0</v>
      </c>
      <c r="G36" s="33"/>
      <c r="H36" s="34">
        <v>24578</v>
      </c>
      <c r="I36" s="34">
        <v>31536</v>
      </c>
      <c r="J36" s="34">
        <v>53823</v>
      </c>
      <c r="K36" s="35"/>
      <c r="L36" s="18">
        <f>J36*(1+$K37)</f>
        <v>80460.402069408781</v>
      </c>
      <c r="M36" s="36">
        <f>L36*(1+$K37)</f>
        <v>120280.85207385173</v>
      </c>
      <c r="N36" s="36">
        <f t="shared" ref="N36:Y36" si="14">M36*(1+$K37)</f>
        <v>179808.73825526616</v>
      </c>
      <c r="O36" s="36">
        <f t="shared" si="14"/>
        <v>268797.41700781824</v>
      </c>
      <c r="P36" s="36">
        <f t="shared" si="14"/>
        <v>401827.25317554938</v>
      </c>
      <c r="Q36" s="36">
        <f t="shared" si="14"/>
        <v>600694.54235086893</v>
      </c>
      <c r="R36" s="36">
        <f t="shared" si="14"/>
        <v>897982.72854449612</v>
      </c>
      <c r="S36" s="36">
        <f t="shared" si="14"/>
        <v>1342401.0439788736</v>
      </c>
      <c r="T36" s="36">
        <f t="shared" si="14"/>
        <v>2006765.2813283221</v>
      </c>
      <c r="U36" s="36">
        <f t="shared" si="14"/>
        <v>2999928.3093585833</v>
      </c>
      <c r="V36" s="36">
        <f t="shared" si="14"/>
        <v>4484615.08928141</v>
      </c>
      <c r="W36" s="36">
        <f t="shared" si="14"/>
        <v>6704084.3730397755</v>
      </c>
      <c r="X36" s="36">
        <f t="shared" si="14"/>
        <v>10021985.473905591</v>
      </c>
      <c r="Y36" s="36">
        <f t="shared" si="14"/>
        <v>14981940.448585516</v>
      </c>
      <c r="Z36" s="6"/>
    </row>
    <row r="37" spans="1:27" s="5" customFormat="1" ht="16" x14ac:dyDescent="0.2">
      <c r="A37" s="71" t="s">
        <v>23</v>
      </c>
      <c r="C37" s="23"/>
      <c r="D37" s="23"/>
      <c r="E37" s="37" t="s">
        <v>24</v>
      </c>
      <c r="F37" s="38">
        <f t="shared" ref="F37:G37" si="15">IFERROR((F36-E36)/E36,0)</f>
        <v>0</v>
      </c>
      <c r="G37" s="38">
        <f t="shared" si="15"/>
        <v>0</v>
      </c>
      <c r="H37" s="38">
        <f>IFERROR((H36-G36)/G36,0)</f>
        <v>0</v>
      </c>
      <c r="I37" s="38">
        <f>IFERROR((I36-H36)/H36,0)</f>
        <v>0.28309870615998045</v>
      </c>
      <c r="J37" s="38">
        <f>IFERROR((J36-I36)/I36,0)</f>
        <v>0.70671613394216137</v>
      </c>
      <c r="K37" s="39">
        <f>IFERROR(AVERAGEIF(F37:J37, "&lt;&gt; 0"),0)</f>
        <v>0.49490742005107091</v>
      </c>
      <c r="L37" s="38">
        <f>IFERROR((L36-J36)/J36,0)</f>
        <v>0.49490742005107075</v>
      </c>
      <c r="M37" s="38">
        <f t="shared" ref="M37:Y37" si="16">IFERROR((M36-L36)/L36,0)</f>
        <v>0.49490742005107086</v>
      </c>
      <c r="N37" s="38">
        <f t="shared" si="16"/>
        <v>0.49490742005107069</v>
      </c>
      <c r="O37" s="38">
        <f t="shared" si="16"/>
        <v>0.49490742005107097</v>
      </c>
      <c r="P37" s="38">
        <f t="shared" si="16"/>
        <v>0.4949074200510708</v>
      </c>
      <c r="Q37" s="38">
        <f t="shared" si="16"/>
        <v>0.49490742005107069</v>
      </c>
      <c r="R37" s="38">
        <f t="shared" si="16"/>
        <v>0.49490742005107075</v>
      </c>
      <c r="S37" s="38">
        <f t="shared" si="16"/>
        <v>0.49490742005107069</v>
      </c>
      <c r="T37" s="38">
        <f t="shared" si="16"/>
        <v>0.49490742005107086</v>
      </c>
      <c r="U37" s="38">
        <f t="shared" si="16"/>
        <v>0.4949074200510708</v>
      </c>
      <c r="V37" s="38">
        <f t="shared" si="16"/>
        <v>0.49490742005107069</v>
      </c>
      <c r="W37" s="38">
        <f t="shared" si="16"/>
        <v>0.49490742005107091</v>
      </c>
      <c r="X37" s="38">
        <f t="shared" si="16"/>
        <v>0.4949074200510708</v>
      </c>
      <c r="Y37" s="38">
        <f t="shared" si="16"/>
        <v>0.4949074200510708</v>
      </c>
      <c r="Z37" s="10"/>
    </row>
    <row r="38" spans="1:27" ht="16" x14ac:dyDescent="0.2">
      <c r="A38" s="70" t="s">
        <v>25</v>
      </c>
      <c r="C38" s="86"/>
      <c r="D38" s="86"/>
      <c r="E38" s="32" t="s">
        <v>26</v>
      </c>
      <c r="F38" s="90"/>
      <c r="G38" s="90"/>
      <c r="H38" s="90"/>
      <c r="I38" s="90"/>
      <c r="J38" s="90"/>
      <c r="K38" s="40"/>
      <c r="L38" s="90"/>
      <c r="M38" s="90"/>
      <c r="N38" s="90"/>
      <c r="O38" s="90"/>
      <c r="P38" s="90"/>
      <c r="Q38" s="90"/>
      <c r="R38" s="90"/>
      <c r="S38" s="90"/>
      <c r="T38" s="90"/>
      <c r="U38" s="90"/>
      <c r="V38" s="90"/>
      <c r="W38" s="90"/>
      <c r="X38" s="90"/>
      <c r="Y38" s="90"/>
      <c r="Z38" s="6"/>
    </row>
    <row r="39" spans="1:27" ht="16" x14ac:dyDescent="0.2">
      <c r="A39" s="70"/>
      <c r="C39" s="86"/>
      <c r="D39" s="86"/>
      <c r="E39" s="37" t="s">
        <v>27</v>
      </c>
      <c r="F39" s="41">
        <v>0</v>
      </c>
      <c r="G39" s="41">
        <v>0</v>
      </c>
      <c r="H39" s="28">
        <v>20509</v>
      </c>
      <c r="I39" s="28">
        <v>24906</v>
      </c>
      <c r="J39" s="28">
        <v>40217</v>
      </c>
      <c r="K39" s="35"/>
      <c r="L39" s="91">
        <f>J39*(1+$K40)</f>
        <v>56889.865175044615</v>
      </c>
      <c r="M39" s="91">
        <f>L39*(1+$K40)</f>
        <v>80474.842967768709</v>
      </c>
      <c r="N39" s="91">
        <f t="shared" ref="N39" si="17">M39*(1+$K40)</f>
        <v>113837.50569210158</v>
      </c>
      <c r="O39" s="91">
        <f t="shared" ref="O39" si="18">N39*(1+$K40)</f>
        <v>161031.41334975339</v>
      </c>
      <c r="P39" s="91">
        <f t="shared" ref="P39" si="19">O39*(1+$K40)</f>
        <v>227790.62074282891</v>
      </c>
      <c r="Q39" s="91">
        <f t="shared" ref="Q39" si="20">P39*(1+$K40)</f>
        <v>322226.3645274202</v>
      </c>
      <c r="R39" s="91">
        <f t="shared" ref="R39" si="21">Q39*(1+$K40)</f>
        <v>455812.57761169935</v>
      </c>
      <c r="S39" s="91">
        <f t="shared" ref="S39" si="22">R39*(1+$K40)</f>
        <v>644779.97079392138</v>
      </c>
      <c r="T39" s="91">
        <f>S39*(1+$K40)</f>
        <v>912088.06241229805</v>
      </c>
      <c r="U39" s="91">
        <f t="shared" ref="U39" si="23">T39*(1+$K40)</f>
        <v>1290214.7574011814</v>
      </c>
      <c r="V39" s="91">
        <f t="shared" ref="V39" si="24">U39*(1+$K40)</f>
        <v>1825102.4093146208</v>
      </c>
      <c r="W39" s="91">
        <f t="shared" ref="W39" si="25">V39*(1+$K40)</f>
        <v>2581739.8114369013</v>
      </c>
      <c r="X39" s="91">
        <f t="shared" ref="X39" si="26">W39*(1+$K40)</f>
        <v>3652058.3283111723</v>
      </c>
      <c r="Y39" s="91">
        <f t="shared" ref="Y39" si="27">X39*(1+$K40)</f>
        <v>5166101.5468339613</v>
      </c>
      <c r="Z39" s="6"/>
    </row>
    <row r="40" spans="1:27" s="5" customFormat="1" ht="16" x14ac:dyDescent="0.2">
      <c r="A40" s="71"/>
      <c r="C40" s="23"/>
      <c r="D40" s="23"/>
      <c r="E40" s="37" t="s">
        <v>24</v>
      </c>
      <c r="F40" s="38">
        <f t="shared" ref="F40:G40" si="28">IFERROR((F39-E39)/E39,0)</f>
        <v>0</v>
      </c>
      <c r="G40" s="38">
        <f t="shared" si="28"/>
        <v>0</v>
      </c>
      <c r="H40" s="38">
        <f>IFERROR((H39-G39)/G39,0)</f>
        <v>0</v>
      </c>
      <c r="I40" s="38">
        <f>IFERROR((I39-H39)/H39,0)</f>
        <v>0.2143936808230533</v>
      </c>
      <c r="J40" s="38">
        <f>IFERROR((J39-I39)/I39,0)</f>
        <v>0.61475146551031878</v>
      </c>
      <c r="K40" s="39">
        <f>IFERROR(AVERAGEIF(F40:J40, "&lt;&gt; 0"),0)</f>
        <v>0.41457257316668605</v>
      </c>
      <c r="L40" s="38">
        <f>IFERROR((L39-J39)/J39,0)</f>
        <v>0.41457257316668611</v>
      </c>
      <c r="M40" s="38">
        <f t="shared" ref="M40" si="29">IFERROR((M39-L39)/L39,0)</f>
        <v>0.41457257316668616</v>
      </c>
      <c r="N40" s="38">
        <f t="shared" ref="N40" si="30">IFERROR((N39-M39)/M39,0)</f>
        <v>0.41457257316668611</v>
      </c>
      <c r="O40" s="38">
        <f t="shared" ref="O40" si="31">IFERROR((O39-N39)/N39,0)</f>
        <v>0.414572573166686</v>
      </c>
      <c r="P40" s="38">
        <f t="shared" ref="P40" si="32">IFERROR((P39-O39)/O39,0)</f>
        <v>0.41457257316668611</v>
      </c>
      <c r="Q40" s="38">
        <f t="shared" ref="Q40" si="33">IFERROR((Q39-P39)/P39,0)</f>
        <v>0.41457257316668616</v>
      </c>
      <c r="R40" s="38">
        <f t="shared" ref="R40" si="34">IFERROR((R39-Q39)/Q39,0)</f>
        <v>0.414572573166686</v>
      </c>
      <c r="S40" s="38">
        <f t="shared" ref="S40" si="35">IFERROR((S39-R39)/R39,0)</f>
        <v>0.41457257316668616</v>
      </c>
      <c r="T40" s="38">
        <f>IFERROR((T39-S39)/S39,0)</f>
        <v>0.41457257316668605</v>
      </c>
      <c r="U40" s="38">
        <f t="shared" ref="U40" si="36">IFERROR((U39-T39)/T39,0)</f>
        <v>0.41457257316668605</v>
      </c>
      <c r="V40" s="38">
        <f t="shared" ref="V40" si="37">IFERROR((V39-U39)/U39,0)</f>
        <v>0.41457257316668605</v>
      </c>
      <c r="W40" s="38">
        <f t="shared" ref="W40" si="38">IFERROR((W39-V39)/V39,0)</f>
        <v>0.414572573166686</v>
      </c>
      <c r="X40" s="38">
        <f t="shared" ref="X40" si="39">IFERROR((X39-W39)/W39,0)</f>
        <v>0.41457257316668605</v>
      </c>
      <c r="Y40" s="38">
        <f t="shared" ref="Y40" si="40">IFERROR((Y39-X39)/X39,0)</f>
        <v>0.41457257316668616</v>
      </c>
      <c r="Z40" s="10"/>
    </row>
    <row r="41" spans="1:27" ht="16" x14ac:dyDescent="0.2">
      <c r="A41" s="70"/>
      <c r="C41" s="86"/>
      <c r="D41" s="86"/>
      <c r="E41" s="37" t="s">
        <v>28</v>
      </c>
      <c r="F41" s="41">
        <v>0</v>
      </c>
      <c r="G41" s="41">
        <v>0</v>
      </c>
      <c r="H41" s="28">
        <v>1343</v>
      </c>
      <c r="I41" s="28">
        <v>1491</v>
      </c>
      <c r="J41" s="28">
        <v>2593</v>
      </c>
      <c r="K41" s="35"/>
      <c r="L41" s="91">
        <f>J41*(1+$K42)</f>
        <v>3694.1204536726441</v>
      </c>
      <c r="M41" s="91">
        <f>L41*(1+$K42)</f>
        <v>5262.8329835104441</v>
      </c>
      <c r="N41" s="91">
        <f t="shared" ref="N41" si="41">M41*(1+$K42)</f>
        <v>7497.7011063050359</v>
      </c>
      <c r="O41" s="91">
        <f t="shared" ref="O41" si="42">N41*(1+$K42)</f>
        <v>10681.608566265117</v>
      </c>
      <c r="P41" s="91">
        <f t="shared" ref="P41" si="43">O41*(1+$K42)</f>
        <v>15217.566017263747</v>
      </c>
      <c r="Q41" s="91">
        <f t="shared" ref="Q41" si="44">P41*(1+$K42)</f>
        <v>21679.723054179623</v>
      </c>
      <c r="R41" s="91">
        <f t="shared" ref="R41" si="45">Q41*(1+$K42)</f>
        <v>30886.042562438608</v>
      </c>
      <c r="S41" s="91">
        <f t="shared" ref="S41" si="46">R41*(1+$K42)</f>
        <v>44001.83631427239</v>
      </c>
      <c r="T41" s="91">
        <f t="shared" ref="T41" si="47">S41*(1+$K42)</f>
        <v>62687.267075861688</v>
      </c>
      <c r="U41" s="91">
        <f t="shared" ref="U41" si="48">T41*(1+$K42)</f>
        <v>89307.487655140911</v>
      </c>
      <c r="V41" s="91">
        <f t="shared" ref="V41" si="49">U41*(1+$K42)</f>
        <v>127232.01573967343</v>
      </c>
      <c r="W41" s="91">
        <f t="shared" ref="W41" si="50">V41*(1+$K42)</f>
        <v>181261.23860621959</v>
      </c>
      <c r="X41" s="91">
        <f t="shared" ref="X41" si="51">W41*(1+$K42)</f>
        <v>258234.03354927624</v>
      </c>
      <c r="Y41" s="91">
        <f t="shared" ref="Y41" si="52">X41*(1+$K42)</f>
        <v>367893.41502844932</v>
      </c>
      <c r="Z41" s="6"/>
    </row>
    <row r="42" spans="1:27" s="5" customFormat="1" ht="16" x14ac:dyDescent="0.2">
      <c r="C42" s="23"/>
      <c r="D42" s="23"/>
      <c r="E42" s="37" t="s">
        <v>24</v>
      </c>
      <c r="F42" s="38">
        <f t="shared" ref="F42:G42" si="53">IFERROR((F41-E41)/E41,0)</f>
        <v>0</v>
      </c>
      <c r="G42" s="38">
        <f t="shared" si="53"/>
        <v>0</v>
      </c>
      <c r="H42" s="38">
        <f>IFERROR((H41-G41)/G41,0)</f>
        <v>0</v>
      </c>
      <c r="I42" s="38">
        <f>IFERROR((I41-H41)/H41,0)</f>
        <v>0.11020104244229337</v>
      </c>
      <c r="J42" s="38">
        <f>IFERROR((J41-I41)/I41,0)</f>
        <v>0.73910127431254191</v>
      </c>
      <c r="K42" s="39">
        <f>IFERROR(AVERAGEIF(F42:J42, "&lt;&gt; 0"),0)</f>
        <v>0.42465115837741763</v>
      </c>
      <c r="L42" s="38">
        <f>IFERROR((L41-J41)/J41,0)</f>
        <v>0.42465115837741768</v>
      </c>
      <c r="M42" s="38">
        <f t="shared" ref="M42" si="54">IFERROR((M41-L41)/L41,0)</f>
        <v>0.42465115837741768</v>
      </c>
      <c r="N42" s="38">
        <f t="shared" ref="N42" si="55">IFERROR((N41-M41)/M41,0)</f>
        <v>0.42465115837741779</v>
      </c>
      <c r="O42" s="38">
        <f t="shared" ref="O42" si="56">IFERROR((O41-N41)/N41,0)</f>
        <v>0.42465115837741785</v>
      </c>
      <c r="P42" s="38">
        <f t="shared" ref="P42" si="57">IFERROR((P41-O41)/O41,0)</f>
        <v>0.42465115837741779</v>
      </c>
      <c r="Q42" s="38">
        <f t="shared" ref="Q42" si="58">IFERROR((Q41-P41)/P41,0)</f>
        <v>0.42465115837741763</v>
      </c>
      <c r="R42" s="38">
        <f t="shared" ref="R42" si="59">IFERROR((R41-Q41)/Q41,0)</f>
        <v>0.42465115837741768</v>
      </c>
      <c r="S42" s="38">
        <f t="shared" ref="S42" si="60">IFERROR((S41-R41)/R41,0)</f>
        <v>0.42465115837741774</v>
      </c>
      <c r="T42" s="38">
        <f t="shared" ref="T42" si="61">IFERROR((T41-S41)/S41,0)</f>
        <v>0.42465115837741779</v>
      </c>
      <c r="U42" s="38">
        <f t="shared" ref="U42" si="62">IFERROR((U41-T41)/T41,0)</f>
        <v>0.42465115837741768</v>
      </c>
      <c r="V42" s="38">
        <f t="shared" ref="V42" si="63">IFERROR((V41-U41)/U41,0)</f>
        <v>0.42465115837741768</v>
      </c>
      <c r="W42" s="38">
        <f t="shared" ref="W42" si="64">IFERROR((W41-V41)/V41,0)</f>
        <v>0.42465115837741768</v>
      </c>
      <c r="X42" s="38">
        <f t="shared" ref="X42" si="65">IFERROR((X41-W41)/W41,0)</f>
        <v>0.42465115837741768</v>
      </c>
      <c r="Y42" s="38">
        <f t="shared" ref="Y42" si="66">IFERROR((Y41-X41)/X41,0)</f>
        <v>0.42465115837741763</v>
      </c>
      <c r="Z42" s="10"/>
    </row>
    <row r="43" spans="1:27" ht="16" x14ac:dyDescent="0.2">
      <c r="C43" s="86"/>
      <c r="D43" s="86"/>
      <c r="E43" s="37" t="s">
        <v>29</v>
      </c>
      <c r="F43" s="41">
        <v>0</v>
      </c>
      <c r="G43" s="41">
        <v>0</v>
      </c>
      <c r="H43" s="28">
        <v>2646</v>
      </c>
      <c r="I43" s="28">
        <v>3145</v>
      </c>
      <c r="J43" s="28">
        <v>4517</v>
      </c>
      <c r="K43" s="35"/>
      <c r="L43" s="91">
        <f>J43*(1+$K44)</f>
        <v>5928.1888502548163</v>
      </c>
      <c r="M43" s="91">
        <f>L43*(1+$K44)</f>
        <v>7780.2574815774897</v>
      </c>
      <c r="N43" s="91">
        <f t="shared" ref="N43" si="67">M43*(1+$K44)</f>
        <v>10210.944355634114</v>
      </c>
      <c r="O43" s="91">
        <f t="shared" ref="O43" si="68">N43*(1+$K44)</f>
        <v>13401.019809529003</v>
      </c>
      <c r="P43" s="91">
        <f t="shared" ref="P43" si="69">O43*(1+$K44)</f>
        <v>17587.729957249005</v>
      </c>
      <c r="Q43" s="91">
        <f t="shared" ref="Q43" si="70">P43*(1+$K44)</f>
        <v>23082.440698219209</v>
      </c>
      <c r="R43" s="91">
        <f t="shared" ref="R43" si="71">Q43*(1+$K44)</f>
        <v>30293.794019006225</v>
      </c>
      <c r="S43" s="91">
        <f t="shared" ref="S43" si="72">R43*(1+$K44)</f>
        <v>39758.098723796495</v>
      </c>
      <c r="T43" s="91">
        <f t="shared" ref="T43" si="73">S43*(1+$K44)</f>
        <v>52179.215754204255</v>
      </c>
      <c r="U43" s="91">
        <f t="shared" ref="U43" si="74">T43*(1+$K44)</f>
        <v>68480.904372174919</v>
      </c>
      <c r="V43" s="91">
        <f t="shared" ref="V43" si="75">U43*(1+$K44)</f>
        <v>89875.522194928853</v>
      </c>
      <c r="W43" s="91">
        <f t="shared" ref="W43" si="76">V43*(1+$K44)</f>
        <v>117954.18830790491</v>
      </c>
      <c r="X43" s="91">
        <f t="shared" ref="X43" si="77">W43*(1+$K44)</f>
        <v>154805.11489213613</v>
      </c>
      <c r="Y43" s="91">
        <f t="shared" ref="Y43" si="78">X43*(1+$K44)</f>
        <v>203168.90769669632</v>
      </c>
      <c r="Z43" s="6"/>
    </row>
    <row r="44" spans="1:27" s="5" customFormat="1" ht="16" x14ac:dyDescent="0.2">
      <c r="C44" s="23"/>
      <c r="D44" s="23"/>
      <c r="E44" s="37" t="s">
        <v>24</v>
      </c>
      <c r="F44" s="38">
        <f t="shared" ref="F44:G44" si="79">IFERROR((F43-E43)/E43,0)</f>
        <v>0</v>
      </c>
      <c r="G44" s="38">
        <f t="shared" si="79"/>
        <v>0</v>
      </c>
      <c r="H44" s="38">
        <f>IFERROR((H43-G43)/G43,0)</f>
        <v>0</v>
      </c>
      <c r="I44" s="38">
        <f>IFERROR((I43-H43)/H43,0)</f>
        <v>0.18858654572940287</v>
      </c>
      <c r="J44" s="38">
        <f>IFERROR((J43-I43)/I43,0)</f>
        <v>0.43624801271860097</v>
      </c>
      <c r="K44" s="39">
        <f>IFERROR(AVERAGEIF(F44:J44, "&lt;&gt; 0"),0)</f>
        <v>0.31241727922400192</v>
      </c>
      <c r="L44" s="38">
        <f>IFERROR((L43-J43)/J43,0)</f>
        <v>0.31241727922400186</v>
      </c>
      <c r="M44" s="38">
        <f t="shared" ref="M44" si="80">IFERROR((M43-L43)/L43,0)</f>
        <v>0.31241727922400181</v>
      </c>
      <c r="N44" s="38">
        <f t="shared" ref="N44" si="81">IFERROR((N43-M43)/M43,0)</f>
        <v>0.31241727922400186</v>
      </c>
      <c r="O44" s="38">
        <f t="shared" ref="O44" si="82">IFERROR((O43-N43)/N43,0)</f>
        <v>0.31241727922400192</v>
      </c>
      <c r="P44" s="38">
        <f t="shared" ref="P44" si="83">IFERROR((P43-O43)/O43,0)</f>
        <v>0.31241727922400175</v>
      </c>
      <c r="Q44" s="38">
        <f t="shared" ref="Q44" si="84">IFERROR((Q43-P43)/P43,0)</f>
        <v>0.31241727922400181</v>
      </c>
      <c r="R44" s="38">
        <f t="shared" ref="R44" si="85">IFERROR((R43-Q43)/Q43,0)</f>
        <v>0.31241727922400192</v>
      </c>
      <c r="S44" s="38">
        <f t="shared" ref="S44" si="86">IFERROR((S43-R43)/R43,0)</f>
        <v>0.31241727922400198</v>
      </c>
      <c r="T44" s="38">
        <f t="shared" ref="T44" si="87">IFERROR((T43-S43)/S43,0)</f>
        <v>0.31241727922400181</v>
      </c>
      <c r="U44" s="38">
        <f t="shared" ref="U44" si="88">IFERROR((U43-T43)/T43,0)</f>
        <v>0.31241727922400181</v>
      </c>
      <c r="V44" s="38">
        <f t="shared" ref="V44" si="89">IFERROR((V43-U43)/U43,0)</f>
        <v>0.31241727922400175</v>
      </c>
      <c r="W44" s="38">
        <f t="shared" ref="W44" si="90">IFERROR((W43-V43)/V43,0)</f>
        <v>0.31241727922400181</v>
      </c>
      <c r="X44" s="38">
        <f t="shared" ref="X44" si="91">IFERROR((X43-W43)/W43,0)</f>
        <v>0.31241727922400181</v>
      </c>
      <c r="Y44" s="38">
        <f t="shared" ref="Y44" si="92">IFERROR((Y43-X43)/X43,0)</f>
        <v>0.31241727922400192</v>
      </c>
      <c r="Z44" s="10"/>
    </row>
    <row r="45" spans="1:27" ht="16" x14ac:dyDescent="0.2">
      <c r="C45" s="86"/>
      <c r="D45" s="86"/>
      <c r="E45" s="86"/>
      <c r="F45" s="92"/>
      <c r="G45" s="92"/>
      <c r="H45" s="92"/>
      <c r="I45" s="92"/>
      <c r="J45" s="92"/>
      <c r="K45" s="42"/>
      <c r="L45" s="92"/>
      <c r="M45" s="92"/>
      <c r="N45" s="92"/>
      <c r="O45" s="92"/>
      <c r="P45" s="92"/>
      <c r="Q45" s="92"/>
      <c r="R45" s="92"/>
      <c r="S45" s="92"/>
      <c r="T45" s="92"/>
      <c r="U45" s="92"/>
      <c r="V45" s="92"/>
      <c r="W45" s="92"/>
      <c r="X45" s="92"/>
      <c r="Y45" s="92"/>
      <c r="Z45" s="6"/>
    </row>
    <row r="46" spans="1:27" ht="16" x14ac:dyDescent="0.2">
      <c r="C46" s="86"/>
      <c r="D46" s="86"/>
      <c r="E46" s="43" t="s">
        <v>30</v>
      </c>
      <c r="F46" s="44">
        <f>SUM(F36-SUM(F39:F43))</f>
        <v>0</v>
      </c>
      <c r="G46" s="44">
        <f t="shared" ref="G46:J46" si="93">SUM(G36-SUM(G39:G43))</f>
        <v>0</v>
      </c>
      <c r="H46" s="45">
        <f t="shared" si="93"/>
        <v>80</v>
      </c>
      <c r="I46" s="45">
        <f t="shared" si="93"/>
        <v>1993.6754052767319</v>
      </c>
      <c r="J46" s="45">
        <f t="shared" si="93"/>
        <v>6494.6461472601804</v>
      </c>
      <c r="K46" s="46"/>
      <c r="L46" s="45">
        <f t="shared" ref="L46:Y46" si="94">SUM(L36-SUM(L39:L43))</f>
        <v>13947.38836670517</v>
      </c>
      <c r="M46" s="45">
        <f t="shared" si="94"/>
        <v>26762.079417263551</v>
      </c>
      <c r="N46" s="45">
        <f t="shared" si="94"/>
        <v>48261.747877493908</v>
      </c>
      <c r="O46" s="45">
        <f t="shared" si="94"/>
        <v>83682.536058539146</v>
      </c>
      <c r="P46" s="45">
        <f t="shared" si="94"/>
        <v>141230.49723447615</v>
      </c>
      <c r="Q46" s="45">
        <f t="shared" si="94"/>
        <v>233705.17484731833</v>
      </c>
      <c r="R46" s="45">
        <f t="shared" si="94"/>
        <v>380989.47512762039</v>
      </c>
      <c r="S46" s="45">
        <f t="shared" si="94"/>
        <v>613860.2989231518</v>
      </c>
      <c r="T46" s="45">
        <f t="shared" si="94"/>
        <v>979809.89686222654</v>
      </c>
      <c r="U46" s="45">
        <f t="shared" si="94"/>
        <v>1551924.3207063545</v>
      </c>
      <c r="V46" s="45">
        <f t="shared" si="94"/>
        <v>2442404.3028084552</v>
      </c>
      <c r="W46" s="45">
        <f t="shared" si="94"/>
        <v>3823128.2954650177</v>
      </c>
      <c r="X46" s="45">
        <f t="shared" si="94"/>
        <v>5956887.1579292752</v>
      </c>
      <c r="Y46" s="45">
        <f t="shared" si="94"/>
        <v>9244775.7398026772</v>
      </c>
    </row>
    <row r="47" spans="1:27" s="5" customFormat="1" ht="16" x14ac:dyDescent="0.2">
      <c r="C47" s="23"/>
      <c r="D47" s="23"/>
      <c r="E47" s="37" t="s">
        <v>24</v>
      </c>
      <c r="F47" s="38">
        <f t="shared" ref="F47:G47" si="95">IFERROR((F46-E46)/E46,0)</f>
        <v>0</v>
      </c>
      <c r="G47" s="38">
        <f t="shared" si="95"/>
        <v>0</v>
      </c>
      <c r="H47" s="38">
        <f>IFERROR((H46-G46)/G46,0)</f>
        <v>0</v>
      </c>
      <c r="I47" s="38">
        <f>IFERROR((I46-H46)/H46,0)</f>
        <v>23.920942565959148</v>
      </c>
      <c r="J47" s="38">
        <f>IFERROR((J46-I46)/I46,0)</f>
        <v>2.2576246514706297</v>
      </c>
      <c r="K47" s="39">
        <f>IFERROR(AVERAGEIF(F47:J47, "&lt;&gt; 0"),0)</f>
        <v>13.089283608714888</v>
      </c>
      <c r="L47" s="38">
        <f>IFERROR((L46-J46)/J46,0)</f>
        <v>1.1475209042126167</v>
      </c>
      <c r="M47" s="38">
        <f t="shared" ref="M47" si="96">IFERROR((M46-L46)/L46,0)</f>
        <v>0.91878785573572075</v>
      </c>
      <c r="N47" s="38">
        <f t="shared" ref="N47" si="97">IFERROR((N46-M46)/M46,0)</f>
        <v>0.80336315145830772</v>
      </c>
      <c r="O47" s="38">
        <f t="shared" ref="O47" si="98">IFERROR((O46-N46)/N46,0)</f>
        <v>0.73393090260543914</v>
      </c>
      <c r="P47" s="38">
        <f t="shared" ref="P47" si="99">IFERROR((P46-O46)/O46,0)</f>
        <v>0.68769379952443122</v>
      </c>
      <c r="Q47" s="38">
        <f t="shared" ref="Q47" si="100">IFERROR((Q46-P46)/P46,0)</f>
        <v>0.65477839010445638</v>
      </c>
      <c r="R47" s="38">
        <f t="shared" ref="R47" si="101">IFERROR((R46-Q46)/Q46,0)</f>
        <v>0.63021411646757164</v>
      </c>
      <c r="S47" s="38">
        <f t="shared" ref="S47" si="102">IFERROR((S46-R46)/R46,0)</f>
        <v>0.6112263959982791</v>
      </c>
      <c r="T47" s="38">
        <f t="shared" ref="T47" si="103">IFERROR((T46-S46)/S46,0)</f>
        <v>0.59614475570587011</v>
      </c>
      <c r="U47" s="38">
        <f t="shared" ref="U47" si="104">IFERROR((U46-T46)/T46,0)</f>
        <v>0.58390349564368027</v>
      </c>
      <c r="V47" s="38">
        <f t="shared" ref="V47" si="105">IFERROR((V46-U46)/U46,0)</f>
        <v>0.57379085450300893</v>
      </c>
      <c r="W47" s="38">
        <f t="shared" ref="W47" si="106">IFERROR((W46-V46)/V46,0)</f>
        <v>0.56531344588154586</v>
      </c>
      <c r="X47" s="38">
        <f t="shared" ref="X47" si="107">IFERROR((X46-W46)/W46,0)</f>
        <v>0.55811856091654455</v>
      </c>
      <c r="Y47" s="38">
        <f t="shared" ref="Y47" si="108">IFERROR((Y46-X46)/X46,0)</f>
        <v>0.55194743407164581</v>
      </c>
      <c r="Z47" s="10"/>
    </row>
    <row r="48" spans="1:27" ht="16" x14ac:dyDescent="0.2">
      <c r="C48" s="86"/>
      <c r="D48" s="86"/>
      <c r="E48" s="37" t="s">
        <v>31</v>
      </c>
      <c r="F48" s="47">
        <f>IFERROR(F46/F36,0)</f>
        <v>0</v>
      </c>
      <c r="G48" s="47">
        <f t="shared" ref="G48:J48" si="109">IFERROR(G46/G36,0)</f>
        <v>0</v>
      </c>
      <c r="H48" s="47">
        <f t="shared" si="109"/>
        <v>3.2549434453576368E-3</v>
      </c>
      <c r="I48" s="47">
        <f t="shared" si="109"/>
        <v>6.3219032384472726E-2</v>
      </c>
      <c r="J48" s="47">
        <f t="shared" si="109"/>
        <v>0.12066674372034596</v>
      </c>
      <c r="K48" s="39"/>
      <c r="L48" s="47">
        <f t="shared" ref="L48:Y48" si="110">IFERROR(L46/L36,0)</f>
        <v>0.17334475105746455</v>
      </c>
      <c r="M48" s="47">
        <f t="shared" si="110"/>
        <v>0.222496589904699</v>
      </c>
      <c r="N48" s="47">
        <f t="shared" si="110"/>
        <v>0.26840602045145845</v>
      </c>
      <c r="O48" s="47">
        <f t="shared" si="110"/>
        <v>0.31132195015142261</v>
      </c>
      <c r="P48" s="47">
        <f t="shared" si="110"/>
        <v>0.35147067830358358</v>
      </c>
      <c r="Q48" s="47">
        <f t="shared" si="110"/>
        <v>0.38905826234527341</v>
      </c>
      <c r="R48" s="47">
        <f t="shared" si="110"/>
        <v>0.4242726090569145</v>
      </c>
      <c r="S48" s="47">
        <f t="shared" si="110"/>
        <v>0.45728532592888282</v>
      </c>
      <c r="T48" s="47">
        <f t="shared" si="110"/>
        <v>0.48825336275185544</v>
      </c>
      <c r="U48" s="47">
        <f t="shared" si="110"/>
        <v>0.51732046924753761</v>
      </c>
      <c r="V48" s="47">
        <f t="shared" si="110"/>
        <v>0.54461849103750226</v>
      </c>
      <c r="W48" s="47">
        <f t="shared" si="110"/>
        <v>0.57026852329597533</v>
      </c>
      <c r="X48" s="47">
        <f t="shared" si="110"/>
        <v>0.5943819389320929</v>
      </c>
      <c r="Y48" s="47">
        <f t="shared" si="110"/>
        <v>0.61706130601229969</v>
      </c>
    </row>
    <row r="49" spans="3:26" ht="16" x14ac:dyDescent="0.2">
      <c r="C49" s="86"/>
      <c r="D49" s="86"/>
      <c r="E49" s="86" t="s">
        <v>32</v>
      </c>
      <c r="F49" s="28">
        <v>0</v>
      </c>
      <c r="G49" s="28">
        <v>0</v>
      </c>
      <c r="H49" s="28">
        <v>898</v>
      </c>
      <c r="I49" s="28">
        <v>1734</v>
      </c>
      <c r="J49" s="28">
        <v>2121</v>
      </c>
      <c r="K49" s="35"/>
      <c r="L49" s="91">
        <f>J49*(1+$K50)</f>
        <v>3344.9666097671875</v>
      </c>
      <c r="M49" s="91">
        <f>L49*(1+$K50)</f>
        <v>5275.2482887587894</v>
      </c>
      <c r="N49" s="91">
        <f t="shared" ref="N49" si="111">M49*(1+$K50)</f>
        <v>8319.4386535264712</v>
      </c>
      <c r="O49" s="91">
        <f t="shared" ref="O49" si="112">N49*(1+$K50)</f>
        <v>13120.34158795499</v>
      </c>
      <c r="P49" s="91">
        <f t="shared" ref="P49" si="113">O49*(1+$K50)</f>
        <v>20691.704158627646</v>
      </c>
      <c r="Q49" s="91">
        <f t="shared" ref="Q49" si="114">P49*(1+$K50)</f>
        <v>32632.276996600816</v>
      </c>
      <c r="R49" s="91">
        <f t="shared" ref="R49" si="115">Q49*(1+$K50)</f>
        <v>51463.402618719287</v>
      </c>
      <c r="S49" s="91">
        <f t="shared" ref="S49" si="116">R49*(1+$K50)</f>
        <v>81161.416022923746</v>
      </c>
      <c r="T49" s="91">
        <f t="shared" ref="T49" si="117">S49*(1+$K50)</f>
        <v>127997.27798118978</v>
      </c>
      <c r="U49" s="91">
        <f t="shared" ref="U49" si="118">T49*(1+$K50)</f>
        <v>201860.73596801917</v>
      </c>
      <c r="V49" s="91">
        <f t="shared" ref="V49" si="119">U49*(1+$K50)</f>
        <v>318348.61934750329</v>
      </c>
      <c r="W49" s="91">
        <f t="shared" ref="W49" si="120">V49*(1+$K50)</f>
        <v>502058.22818617773</v>
      </c>
      <c r="X49" s="91">
        <f t="shared" ref="X49" si="121">W49*(1+$K50)</f>
        <v>791781.23971788771</v>
      </c>
      <c r="Y49" s="91">
        <f t="shared" ref="Y49" si="122">X49*(1+$K50)</f>
        <v>1248694.8652033964</v>
      </c>
    </row>
    <row r="50" spans="3:26" s="5" customFormat="1" ht="16" x14ac:dyDescent="0.2">
      <c r="C50" s="23"/>
      <c r="D50" s="23"/>
      <c r="E50" s="37" t="s">
        <v>24</v>
      </c>
      <c r="F50" s="38">
        <f t="shared" ref="F50:G50" si="123">IFERROR((F49-E49)/E49,0)</f>
        <v>0</v>
      </c>
      <c r="G50" s="38">
        <f t="shared" si="123"/>
        <v>0</v>
      </c>
      <c r="H50" s="38">
        <f>IFERROR((H49-G49)/G49,0)</f>
        <v>0</v>
      </c>
      <c r="I50" s="38">
        <f>IFERROR((I49-H49)/H49,0)</f>
        <v>0.93095768374164811</v>
      </c>
      <c r="J50" s="38">
        <f>IFERROR((J49-I49)/I49,0)</f>
        <v>0.22318339100346021</v>
      </c>
      <c r="K50" s="39">
        <f>IFERROR(AVERAGEIF(F50:J50, "&lt;&gt; 0"),0)</f>
        <v>0.5770705373725542</v>
      </c>
      <c r="L50" s="38">
        <f>IFERROR((L49-J49)/J49,0)</f>
        <v>0.5770705373725542</v>
      </c>
      <c r="M50" s="38">
        <f t="shared" ref="M50" si="124">IFERROR((M49-L49)/L49,0)</f>
        <v>0.57707053737255432</v>
      </c>
      <c r="N50" s="38">
        <f t="shared" ref="N50" si="125">IFERROR((N49-M49)/M49,0)</f>
        <v>0.5770705373725542</v>
      </c>
      <c r="O50" s="38">
        <f t="shared" ref="O50" si="126">IFERROR((O49-N49)/N49,0)</f>
        <v>0.5770705373725542</v>
      </c>
      <c r="P50" s="38">
        <f t="shared" ref="P50" si="127">IFERROR((P49-O49)/O49,0)</f>
        <v>0.57707053737255409</v>
      </c>
      <c r="Q50" s="38">
        <f t="shared" ref="Q50" si="128">IFERROR((Q49-P49)/P49,0)</f>
        <v>0.5770705373725542</v>
      </c>
      <c r="R50" s="38">
        <f t="shared" ref="R50" si="129">IFERROR((R49-Q49)/Q49,0)</f>
        <v>0.57707053737255409</v>
      </c>
      <c r="S50" s="38">
        <f t="shared" ref="S50" si="130">IFERROR((S49-R49)/R49,0)</f>
        <v>0.57707053737255432</v>
      </c>
      <c r="T50" s="38">
        <f t="shared" ref="T50" si="131">IFERROR((T49-S49)/S49,0)</f>
        <v>0.57707053737255409</v>
      </c>
      <c r="U50" s="38">
        <f t="shared" ref="U50" si="132">IFERROR((U49-T49)/T49,0)</f>
        <v>0.57707053737255432</v>
      </c>
      <c r="V50" s="38">
        <f t="shared" ref="V50" si="133">IFERROR((V49-U49)/U49,0)</f>
        <v>0.57707053737255432</v>
      </c>
      <c r="W50" s="38">
        <f t="shared" ref="W50" si="134">IFERROR((W49-V49)/V49,0)</f>
        <v>0.5770705373725542</v>
      </c>
      <c r="X50" s="38">
        <f t="shared" ref="X50" si="135">IFERROR((X49-W49)/W49,0)</f>
        <v>0.57707053737255409</v>
      </c>
      <c r="Y50" s="38">
        <f t="shared" ref="Y50" si="136">IFERROR((Y49-X49)/X49,0)</f>
        <v>0.57707053737255432</v>
      </c>
      <c r="Z50" s="10"/>
    </row>
    <row r="51" spans="3:26" ht="16" x14ac:dyDescent="0.2">
      <c r="C51" s="86"/>
      <c r="D51" s="86"/>
      <c r="E51" s="86"/>
      <c r="F51" s="86"/>
      <c r="G51" s="86"/>
      <c r="H51" s="93"/>
      <c r="I51" s="93"/>
      <c r="J51" s="93"/>
      <c r="K51" s="48"/>
      <c r="L51" s="86"/>
      <c r="M51" s="86"/>
      <c r="N51" s="86"/>
      <c r="O51" s="86"/>
      <c r="P51" s="86"/>
      <c r="Q51" s="86"/>
      <c r="R51" s="86"/>
      <c r="S51" s="86"/>
      <c r="T51" s="86"/>
      <c r="U51" s="86"/>
      <c r="V51" s="86"/>
      <c r="W51" s="86"/>
      <c r="X51" s="86"/>
      <c r="Y51" s="86"/>
    </row>
    <row r="52" spans="3:26" ht="16" x14ac:dyDescent="0.2">
      <c r="C52" s="86"/>
      <c r="D52" s="86"/>
      <c r="E52" s="43" t="s">
        <v>33</v>
      </c>
      <c r="F52" s="44">
        <f>SUM(F46-SUM(F49))</f>
        <v>0</v>
      </c>
      <c r="G52" s="44">
        <f>SUM(G46-SUM(G49))</f>
        <v>0</v>
      </c>
      <c r="H52" s="45">
        <f>SUM(H46-SUM(H49))</f>
        <v>-818</v>
      </c>
      <c r="I52" s="45">
        <f>SUM(I46-SUM(I49))</f>
        <v>259.67540527673191</v>
      </c>
      <c r="J52" s="45">
        <f>SUM(J46-SUM(J49))</f>
        <v>4373.6461472601804</v>
      </c>
      <c r="K52" s="46"/>
      <c r="L52" s="45">
        <f t="shared" ref="L52:Y52" si="137">SUM(L46-SUM(L49))</f>
        <v>10602.421756937983</v>
      </c>
      <c r="M52" s="45">
        <f t="shared" si="137"/>
        <v>21486.83112850476</v>
      </c>
      <c r="N52" s="45">
        <f t="shared" si="137"/>
        <v>39942.309223967437</v>
      </c>
      <c r="O52" s="45">
        <f t="shared" si="137"/>
        <v>70562.19447058416</v>
      </c>
      <c r="P52" s="45">
        <f t="shared" si="137"/>
        <v>120538.7930758485</v>
      </c>
      <c r="Q52" s="45">
        <f t="shared" si="137"/>
        <v>201072.89785071751</v>
      </c>
      <c r="R52" s="45">
        <f t="shared" si="137"/>
        <v>329526.07250890112</v>
      </c>
      <c r="S52" s="45">
        <f t="shared" si="137"/>
        <v>532698.88290022803</v>
      </c>
      <c r="T52" s="45">
        <f t="shared" si="137"/>
        <v>851812.61888103676</v>
      </c>
      <c r="U52" s="45">
        <f t="shared" si="137"/>
        <v>1350063.5847383353</v>
      </c>
      <c r="V52" s="45">
        <f t="shared" si="137"/>
        <v>2124055.6834609518</v>
      </c>
      <c r="W52" s="45">
        <f t="shared" si="137"/>
        <v>3321070.0672788401</v>
      </c>
      <c r="X52" s="45">
        <f t="shared" si="137"/>
        <v>5165105.9182113875</v>
      </c>
      <c r="Y52" s="45">
        <f t="shared" si="137"/>
        <v>7996080.8745992808</v>
      </c>
    </row>
    <row r="53" spans="3:26" s="5" customFormat="1" ht="16" x14ac:dyDescent="0.2">
      <c r="C53" s="23"/>
      <c r="D53" s="23"/>
      <c r="E53" s="37" t="s">
        <v>24</v>
      </c>
      <c r="F53" s="38">
        <f t="shared" ref="F53:G53" si="138">IFERROR((F52-E52)/E52,0)</f>
        <v>0</v>
      </c>
      <c r="G53" s="38">
        <f t="shared" si="138"/>
        <v>0</v>
      </c>
      <c r="H53" s="38">
        <f>IFERROR((H52-G52)/G52,0)</f>
        <v>0</v>
      </c>
      <c r="I53" s="38">
        <f>IFERROR((I52-H52)/H52,0)</f>
        <v>-1.3174515956928263</v>
      </c>
      <c r="J53" s="38">
        <f>IFERROR((J52-I52)/I52,0)</f>
        <v>15.842743126170367</v>
      </c>
      <c r="K53" s="39">
        <f>IFERROR(AVERAGEIF(F53:J53, "&lt;&gt; 0"),0)</f>
        <v>7.2626457652387701</v>
      </c>
      <c r="L53" s="38">
        <f>IFERROR((L52-J52)/J52,0)</f>
        <v>1.4241608488559931</v>
      </c>
      <c r="M53" s="38">
        <f t="shared" ref="M53" si="139">IFERROR((M52-L52)/L52,0)</f>
        <v>1.0265965287076293</v>
      </c>
      <c r="N53" s="38">
        <f t="shared" ref="N53" si="140">IFERROR((N52-M52)/M52,0)</f>
        <v>0.85892042363470511</v>
      </c>
      <c r="O53" s="38">
        <f t="shared" ref="O53" si="141">IFERROR((O52-N52)/N52,0)</f>
        <v>0.76660277889599882</v>
      </c>
      <c r="P53" s="38">
        <f t="shared" ref="P53" si="142">IFERROR((P52-O52)/O52,0)</f>
        <v>0.70826310009531368</v>
      </c>
      <c r="Q53" s="38">
        <f t="shared" ref="Q53" si="143">IFERROR((Q52-P52)/P52,0)</f>
        <v>0.66811772973530004</v>
      </c>
      <c r="R53" s="38">
        <f t="shared" ref="R53" si="144">IFERROR((R52-Q52)/Q52,0)</f>
        <v>0.63883882925659663</v>
      </c>
      <c r="S53" s="38">
        <f t="shared" ref="S53" si="145">IFERROR((S52-R52)/R52,0)</f>
        <v>0.61656065283222417</v>
      </c>
      <c r="T53" s="38">
        <f t="shared" ref="T53" si="146">IFERROR((T52-S52)/S52,0)</f>
        <v>0.59905088263640538</v>
      </c>
      <c r="U53" s="38">
        <f t="shared" ref="U53" si="147">IFERROR((U52-T52)/T52,0)</f>
        <v>0.58493024734925159</v>
      </c>
      <c r="V53" s="38">
        <f t="shared" ref="V53" si="148">IFERROR((V52-U52)/U52,0)</f>
        <v>0.57330047819386887</v>
      </c>
      <c r="W53" s="38">
        <f t="shared" ref="W53" si="149">IFERROR((W52-V52)/V52,0)</f>
        <v>0.56355131983520523</v>
      </c>
      <c r="X53" s="38">
        <f t="shared" ref="X53" si="150">IFERROR((X52-W52)/W52,0)</f>
        <v>0.5552535217793465</v>
      </c>
      <c r="Y53" s="38">
        <f t="shared" ref="Y53" si="151">IFERROR((Y52-X52)/X52,0)</f>
        <v>0.54809620581183072</v>
      </c>
      <c r="Z53" s="10"/>
    </row>
    <row r="54" spans="3:26" ht="16" x14ac:dyDescent="0.2">
      <c r="C54" s="86"/>
      <c r="D54" s="86"/>
      <c r="E54" s="86" t="s">
        <v>34</v>
      </c>
      <c r="F54" s="47">
        <f>IFERROR(F52/F36,0)</f>
        <v>0</v>
      </c>
      <c r="G54" s="47">
        <f>IFERROR(G52/G36,0)</f>
        <v>0</v>
      </c>
      <c r="H54" s="47">
        <f>IFERROR(H52/H36,0)</f>
        <v>-3.3281796728781836E-2</v>
      </c>
      <c r="I54" s="47">
        <f>IFERROR(I52/I36,0)</f>
        <v>8.2342530846249342E-3</v>
      </c>
      <c r="J54" s="47">
        <f>IFERROR(J52/J36,0)</f>
        <v>8.1259798734001826E-2</v>
      </c>
      <c r="K54" s="49"/>
      <c r="L54" s="47">
        <f t="shared" ref="L54:Y54" si="152">IFERROR(L52/L36,0)</f>
        <v>0.13177192114689976</v>
      </c>
      <c r="M54" s="47">
        <f t="shared" si="152"/>
        <v>0.17863883367996075</v>
      </c>
      <c r="N54" s="47">
        <f t="shared" si="152"/>
        <v>0.22213775376846917</v>
      </c>
      <c r="O54" s="47">
        <f t="shared" si="152"/>
        <v>0.26251068650905895</v>
      </c>
      <c r="P54" s="47">
        <f t="shared" si="152"/>
        <v>0.29997664947625585</v>
      </c>
      <c r="Q54" s="47">
        <f t="shared" si="152"/>
        <v>0.33473401816470932</v>
      </c>
      <c r="R54" s="47">
        <f t="shared" si="152"/>
        <v>0.36696259519714441</v>
      </c>
      <c r="S54" s="47">
        <f t="shared" si="152"/>
        <v>0.39682543848543933</v>
      </c>
      <c r="T54" s="47">
        <f t="shared" si="152"/>
        <v>0.42447047833975043</v>
      </c>
      <c r="U54" s="47">
        <f t="shared" si="152"/>
        <v>0.45003194927247891</v>
      </c>
      <c r="V54" s="47">
        <f t="shared" si="152"/>
        <v>0.47363165872085999</v>
      </c>
      <c r="W54" s="47">
        <f t="shared" si="152"/>
        <v>0.49538011195598897</v>
      </c>
      <c r="X54" s="47">
        <f t="shared" si="152"/>
        <v>0.515377509941504</v>
      </c>
      <c r="Y54" s="47">
        <f t="shared" si="152"/>
        <v>0.53371463476576642</v>
      </c>
    </row>
    <row r="55" spans="3:26" s="5" customFormat="1" ht="16" x14ac:dyDescent="0.2">
      <c r="C55" s="23"/>
      <c r="D55" s="23"/>
      <c r="E55" s="37" t="s">
        <v>24</v>
      </c>
      <c r="F55" s="38">
        <f t="shared" ref="F55:G55" si="153">IFERROR((F54-E54)/E54,0)</f>
        <v>0</v>
      </c>
      <c r="G55" s="38">
        <f t="shared" si="153"/>
        <v>0</v>
      </c>
      <c r="H55" s="38">
        <f>IFERROR((H54-G54)/G54,0)</f>
        <v>0</v>
      </c>
      <c r="I55" s="38">
        <f>IFERROR((I54-H54)/H54,0)</f>
        <v>-1.2474101128531927</v>
      </c>
      <c r="J55" s="38">
        <f>IFERROR((J54-I54)/I54,0)</f>
        <v>8.8685087644112865</v>
      </c>
      <c r="K55" s="39">
        <f>IFERROR(AVERAGEIF(F55:J55, "&lt;&gt; 0"),0)</f>
        <v>3.8105493257790468</v>
      </c>
      <c r="L55" s="38">
        <f>IFERROR((L54-J54)/J54,0)</f>
        <v>0.62161269409792375</v>
      </c>
      <c r="M55" s="38">
        <f t="shared" ref="M55" si="154">IFERROR((M54-L54)/L54,0)</f>
        <v>0.35566691390052368</v>
      </c>
      <c r="N55" s="38">
        <f t="shared" ref="N55" si="155">IFERROR((N54-M54)/M54,0)</f>
        <v>0.24350203812032623</v>
      </c>
      <c r="O55" s="38">
        <f t="shared" ref="O55" si="156">IFERROR((O54-N54)/N54,0)</f>
        <v>0.18174728093572912</v>
      </c>
      <c r="P55" s="38">
        <f t="shared" ref="P55" si="157">IFERROR((P54-O54)/O54,0)</f>
        <v>0.14272166769829384</v>
      </c>
      <c r="Q55" s="38">
        <f t="shared" ref="Q55" si="158">IFERROR((Q54-P54)/P54,0)</f>
        <v>0.11586691413861075</v>
      </c>
      <c r="R55" s="38">
        <f t="shared" ref="R55" si="159">IFERROR((R54-Q54)/Q54,0)</f>
        <v>9.6281152447961496E-2</v>
      </c>
      <c r="S55" s="38">
        <f t="shared" ref="S55" si="160">IFERROR((S54-R54)/R54,0)</f>
        <v>8.1378439326361351E-2</v>
      </c>
      <c r="T55" s="38">
        <f t="shared" ref="T55" si="161">IFERROR((T54-S54)/S54,0)</f>
        <v>6.9665493119150129E-2</v>
      </c>
      <c r="U55" s="38">
        <f t="shared" ref="U55" si="162">IFERROR((U54-T54)/T54,0)</f>
        <v>6.0219667178523596E-2</v>
      </c>
      <c r="V55" s="38">
        <f t="shared" ref="V55" si="163">IFERROR((V54-U54)/U54,0)</f>
        <v>5.2440075613592187E-2</v>
      </c>
      <c r="W55" s="38">
        <f t="shared" ref="W55" si="164">IFERROR((W54-V54)/V54,0)</f>
        <v>4.5918495596061204E-2</v>
      </c>
      <c r="X55" s="38">
        <f t="shared" ref="X55" si="165">IFERROR((X54-W54)/W54,0)</f>
        <v>4.0367785268076446E-2</v>
      </c>
      <c r="Y55" s="38">
        <f t="shared" ref="Y55" si="166">IFERROR((Y54-X54)/X54,0)</f>
        <v>3.5579986457584666E-2</v>
      </c>
      <c r="Z55" s="10"/>
    </row>
    <row r="56" spans="3:26" ht="16" x14ac:dyDescent="0.2">
      <c r="C56" s="86"/>
      <c r="D56" s="86"/>
      <c r="E56" s="86" t="s">
        <v>35</v>
      </c>
      <c r="F56" s="28">
        <v>0</v>
      </c>
      <c r="G56" s="28">
        <v>0</v>
      </c>
      <c r="H56" s="28">
        <v>110</v>
      </c>
      <c r="I56" s="28">
        <v>292</v>
      </c>
      <c r="J56" s="28">
        <v>699</v>
      </c>
      <c r="K56" s="35"/>
      <c r="L56" s="91">
        <f>J56*(1+$K57)</f>
        <v>1231.7045921544209</v>
      </c>
      <c r="M56" s="91">
        <f>L56*(1+$K57)</f>
        <v>2170.3808330962638</v>
      </c>
      <c r="N56" s="91">
        <f t="shared" ref="N56" si="167">M56*(1+$K57)</f>
        <v>3824.4177952054447</v>
      </c>
      <c r="O56" s="91">
        <f t="shared" ref="O56" si="168">N56*(1+$K57)</f>
        <v>6738.9884988149242</v>
      </c>
      <c r="P56" s="91">
        <f t="shared" ref="P56" si="169">O56*(1+$K57)</f>
        <v>11874.73974315618</v>
      </c>
      <c r="Q56" s="91">
        <f t="shared" ref="Q56" si="170">P56*(1+$K57)</f>
        <v>20924.422707130296</v>
      </c>
      <c r="R56" s="91">
        <f t="shared" ref="R56" si="171">Q56*(1+$K57)</f>
        <v>36870.826232550251</v>
      </c>
      <c r="S56" s="91">
        <f t="shared" ref="S56" si="172">R56*(1+$K57)</f>
        <v>64969.90842226013</v>
      </c>
      <c r="T56" s="91">
        <f t="shared" ref="T56" si="173">S56*(1+$K57)</f>
        <v>114483.16817675249</v>
      </c>
      <c r="U56" s="91">
        <f t="shared" ref="U56" si="174">T56*(1+$K57)</f>
        <v>201730.24888081959</v>
      </c>
      <c r="V56" s="91">
        <f t="shared" ref="V56" si="175">U56*(1+$K57)</f>
        <v>355467.91691410547</v>
      </c>
      <c r="W56" s="91">
        <f t="shared" ref="W56" si="176">V56*(1+$K57)</f>
        <v>626368.33422985673</v>
      </c>
      <c r="X56" s="91">
        <f t="shared" ref="X56" si="177">W56*(1+$K57)</f>
        <v>1103720.6776123459</v>
      </c>
      <c r="Y56" s="91">
        <f t="shared" ref="Y56" si="178">X56*(1+$K57)</f>
        <v>1944860.982934071</v>
      </c>
    </row>
    <row r="57" spans="3:26" s="5" customFormat="1" ht="16" x14ac:dyDescent="0.2">
      <c r="C57" s="23"/>
      <c r="D57" s="23"/>
      <c r="E57" s="37" t="s">
        <v>24</v>
      </c>
      <c r="F57" s="38">
        <f t="shared" ref="F57:G57" si="179">IFERROR((F56-E56)/E56,0)</f>
        <v>0</v>
      </c>
      <c r="G57" s="38">
        <f t="shared" si="179"/>
        <v>0</v>
      </c>
      <c r="H57" s="38">
        <f>IFERROR((H56-G56)/G56,0)</f>
        <v>0</v>
      </c>
      <c r="I57" s="38">
        <f>IFERROR((I56-H56)/H56,0)</f>
        <v>1.6545454545454545</v>
      </c>
      <c r="J57" s="38">
        <f>IFERROR((J56-I56)/I56,0)</f>
        <v>1.3938356164383561</v>
      </c>
      <c r="K57" s="72">
        <f>IFERROR(AVERAGEIF(F57:J57, "&lt;&gt; 0"),0)/2</f>
        <v>0.76209526774595271</v>
      </c>
      <c r="L57" s="38">
        <f>IFERROR((L56-J56)/J56,0)</f>
        <v>0.7620952677459526</v>
      </c>
      <c r="M57" s="38">
        <f t="shared" ref="M57" si="180">IFERROR((M56-L56)/L56,0)</f>
        <v>0.76209526774595282</v>
      </c>
      <c r="N57" s="38">
        <f t="shared" ref="N57" si="181">IFERROR((N56-M56)/M56,0)</f>
        <v>0.7620952677459526</v>
      </c>
      <c r="O57" s="38">
        <f t="shared" ref="O57" si="182">IFERROR((O56-N56)/N56,0)</f>
        <v>0.76209526774595271</v>
      </c>
      <c r="P57" s="38">
        <f t="shared" ref="P57" si="183">IFERROR((P56-O56)/O56,0)</f>
        <v>0.76209526774595282</v>
      </c>
      <c r="Q57" s="38">
        <f t="shared" ref="Q57" si="184">IFERROR((Q56-P56)/P56,0)</f>
        <v>0.76209526774595271</v>
      </c>
      <c r="R57" s="38">
        <f t="shared" ref="R57" si="185">IFERROR((R56-Q56)/Q56,0)</f>
        <v>0.76209526774595271</v>
      </c>
      <c r="S57" s="38">
        <f t="shared" ref="S57" si="186">IFERROR((S56-R56)/R56,0)</f>
        <v>0.76209526774595271</v>
      </c>
      <c r="T57" s="38">
        <f t="shared" ref="T57" si="187">IFERROR((T56-S56)/S56,0)</f>
        <v>0.7620952677459526</v>
      </c>
      <c r="U57" s="38">
        <f t="shared" ref="U57" si="188">IFERROR((U56-T56)/T56,0)</f>
        <v>0.7620952677459526</v>
      </c>
      <c r="V57" s="38">
        <f t="shared" ref="V57" si="189">IFERROR((V56-U56)/U56,0)</f>
        <v>0.76209526774595271</v>
      </c>
      <c r="W57" s="38">
        <f t="shared" ref="W57" si="190">IFERROR((W56-V56)/V56,0)</f>
        <v>0.7620952677459526</v>
      </c>
      <c r="X57" s="38">
        <f t="shared" ref="X57" si="191">IFERROR((X56-W56)/W56,0)</f>
        <v>0.76209526774595293</v>
      </c>
      <c r="Y57" s="38">
        <f t="shared" ref="Y57" si="192">IFERROR((Y56-X56)/X56,0)</f>
        <v>0.76209526774595271</v>
      </c>
      <c r="Z57" s="10"/>
    </row>
    <row r="58" spans="3:26" ht="16" x14ac:dyDescent="0.2">
      <c r="C58" s="86"/>
      <c r="D58" s="86"/>
      <c r="E58" s="37" t="s">
        <v>36</v>
      </c>
      <c r="F58" s="47">
        <f>IFERROR(F56/F52,0)</f>
        <v>0</v>
      </c>
      <c r="G58" s="47">
        <f t="shared" ref="G58:J58" si="193">IFERROR(G56/G52,0)</f>
        <v>0</v>
      </c>
      <c r="H58" s="47">
        <f t="shared" si="193"/>
        <v>-0.13447432762836187</v>
      </c>
      <c r="I58" s="47">
        <f t="shared" si="193"/>
        <v>1.1244807712490918</v>
      </c>
      <c r="J58" s="47">
        <f t="shared" si="193"/>
        <v>0.15982088547284065</v>
      </c>
      <c r="K58" s="49"/>
      <c r="L58" s="47">
        <f t="shared" ref="L58:Y58" si="194">IFERROR(L56/L52,0)</f>
        <v>0.11617200488637622</v>
      </c>
      <c r="M58" s="47">
        <f t="shared" si="194"/>
        <v>0.10100981480777793</v>
      </c>
      <c r="N58" s="47">
        <f t="shared" si="194"/>
        <v>9.5748540069651195E-2</v>
      </c>
      <c r="O58" s="47">
        <f t="shared" si="194"/>
        <v>9.5504236360226313E-2</v>
      </c>
      <c r="P58" s="47">
        <f t="shared" si="194"/>
        <v>9.8513843055356071E-2</v>
      </c>
      <c r="Q58" s="47">
        <f t="shared" si="194"/>
        <v>0.10406386405524035</v>
      </c>
      <c r="R58" s="47">
        <f t="shared" si="194"/>
        <v>0.11189046727570942</v>
      </c>
      <c r="S58" s="47">
        <f t="shared" si="194"/>
        <v>0.12196366560511201</v>
      </c>
      <c r="T58" s="47">
        <f t="shared" si="194"/>
        <v>0.13439947429651905</v>
      </c>
      <c r="U58" s="47">
        <f t="shared" si="194"/>
        <v>0.14942277620199515</v>
      </c>
      <c r="V58" s="47">
        <f t="shared" si="194"/>
        <v>0.16735338893512597</v>
      </c>
      <c r="W58" s="47">
        <f t="shared" si="194"/>
        <v>0.18860437194662363</v>
      </c>
      <c r="X58" s="47">
        <f t="shared" si="194"/>
        <v>0.21368790787441408</v>
      </c>
      <c r="Y58" s="47">
        <f t="shared" si="194"/>
        <v>0.24322677739693779</v>
      </c>
    </row>
    <row r="59" spans="3:26" ht="16" x14ac:dyDescent="0.2">
      <c r="C59" s="23" t="s">
        <v>37</v>
      </c>
      <c r="D59" s="31">
        <v>0.05</v>
      </c>
      <c r="E59" s="86" t="s">
        <v>38</v>
      </c>
      <c r="F59" s="31">
        <v>0.35</v>
      </c>
      <c r="G59" s="31">
        <v>0.21</v>
      </c>
      <c r="H59" s="31">
        <v>0.21</v>
      </c>
      <c r="I59" s="31">
        <v>0.21</v>
      </c>
      <c r="J59" s="31">
        <v>0.21</v>
      </c>
      <c r="K59" s="50"/>
      <c r="L59" s="47">
        <f>J59*(1+$D$59)</f>
        <v>0.2205</v>
      </c>
      <c r="M59" s="47">
        <f t="shared" ref="M59:Y59" si="195">L59*(1+$D$59)</f>
        <v>0.23152500000000001</v>
      </c>
      <c r="N59" s="47">
        <f t="shared" si="195"/>
        <v>0.24310125000000002</v>
      </c>
      <c r="O59" s="47">
        <f t="shared" si="195"/>
        <v>0.25525631250000003</v>
      </c>
      <c r="P59" s="47">
        <f t="shared" si="195"/>
        <v>0.26801912812500006</v>
      </c>
      <c r="Q59" s="47">
        <f t="shared" si="195"/>
        <v>0.28142008453125006</v>
      </c>
      <c r="R59" s="47">
        <f t="shared" si="195"/>
        <v>0.29549108875781255</v>
      </c>
      <c r="S59" s="47">
        <f t="shared" si="195"/>
        <v>0.31026564319570321</v>
      </c>
      <c r="T59" s="47">
        <f t="shared" si="195"/>
        <v>0.32577892535548836</v>
      </c>
      <c r="U59" s="47">
        <f t="shared" si="195"/>
        <v>0.3420678716232628</v>
      </c>
      <c r="V59" s="47">
        <f t="shared" si="195"/>
        <v>0.35917126520442594</v>
      </c>
      <c r="W59" s="47">
        <f t="shared" si="195"/>
        <v>0.37712982846464727</v>
      </c>
      <c r="X59" s="47">
        <f t="shared" si="195"/>
        <v>0.39598631988787963</v>
      </c>
      <c r="Y59" s="47">
        <f t="shared" si="195"/>
        <v>0.41578563588227363</v>
      </c>
    </row>
    <row r="60" spans="3:26" ht="16" x14ac:dyDescent="0.2">
      <c r="C60" s="86"/>
      <c r="D60" s="86"/>
      <c r="E60" s="86" t="s">
        <v>39</v>
      </c>
      <c r="F60" s="93">
        <f>F59*F52</f>
        <v>0</v>
      </c>
      <c r="G60" s="93">
        <f t="shared" ref="G60:J60" si="196">G59*G52</f>
        <v>0</v>
      </c>
      <c r="H60" s="93">
        <f t="shared" si="196"/>
        <v>-171.78</v>
      </c>
      <c r="I60" s="93">
        <f t="shared" si="196"/>
        <v>54.531835108113697</v>
      </c>
      <c r="J60" s="93">
        <f t="shared" si="196"/>
        <v>918.4656909246379</v>
      </c>
      <c r="K60" s="48"/>
      <c r="L60" s="93">
        <f t="shared" ref="L60:Y60" si="197">L59*L52</f>
        <v>2337.8339974048254</v>
      </c>
      <c r="M60" s="93">
        <f t="shared" si="197"/>
        <v>4974.7385770270648</v>
      </c>
      <c r="N60" s="93">
        <f t="shared" si="197"/>
        <v>9710.0253002330155</v>
      </c>
      <c r="O60" s="93">
        <f t="shared" si="197"/>
        <v>18011.445562469205</v>
      </c>
      <c r="P60" s="93">
        <f t="shared" si="197"/>
        <v>32306.702225428711</v>
      </c>
      <c r="Q60" s="93">
        <f t="shared" si="197"/>
        <v>56585.951910092328</v>
      </c>
      <c r="R60" s="93">
        <f t="shared" si="197"/>
        <v>97372.017939741068</v>
      </c>
      <c r="S60" s="93">
        <f t="shared" si="197"/>
        <v>165278.16153267183</v>
      </c>
      <c r="T60" s="93">
        <f t="shared" si="197"/>
        <v>277502.59958330833</v>
      </c>
      <c r="U60" s="93">
        <f t="shared" si="197"/>
        <v>461813.37698751484</v>
      </c>
      <c r="V60" s="93">
        <f t="shared" si="197"/>
        <v>762899.76719332172</v>
      </c>
      <c r="W60" s="93">
        <f t="shared" si="197"/>
        <v>1252474.5847919434</v>
      </c>
      <c r="X60" s="93">
        <f t="shared" si="197"/>
        <v>2045311.2843836348</v>
      </c>
      <c r="Y60" s="93">
        <f t="shared" si="197"/>
        <v>3324655.5710113486</v>
      </c>
    </row>
    <row r="61" spans="3:26" ht="16" x14ac:dyDescent="0.2">
      <c r="C61" s="86"/>
      <c r="D61" s="86"/>
      <c r="E61" s="4" t="s">
        <v>40</v>
      </c>
      <c r="F61" s="51">
        <f>F56-F60</f>
        <v>0</v>
      </c>
      <c r="G61" s="51">
        <f t="shared" ref="G61:J61" si="198">G56-G60</f>
        <v>0</v>
      </c>
      <c r="H61" s="51">
        <f t="shared" si="198"/>
        <v>281.77999999999997</v>
      </c>
      <c r="I61" s="51">
        <f t="shared" si="198"/>
        <v>237.46816489188632</v>
      </c>
      <c r="J61" s="51">
        <f t="shared" si="198"/>
        <v>-219.4656909246379</v>
      </c>
      <c r="K61" s="52"/>
      <c r="L61" s="51">
        <f t="shared" ref="L61:Y61" si="199">L56-L60</f>
        <v>-1106.1294052504045</v>
      </c>
      <c r="M61" s="51">
        <f t="shared" si="199"/>
        <v>-2804.357743930801</v>
      </c>
      <c r="N61" s="51">
        <f t="shared" si="199"/>
        <v>-5885.6075050275704</v>
      </c>
      <c r="O61" s="51">
        <f t="shared" si="199"/>
        <v>-11272.457063654281</v>
      </c>
      <c r="P61" s="51">
        <f t="shared" si="199"/>
        <v>-20431.962482272531</v>
      </c>
      <c r="Q61" s="51">
        <f t="shared" si="199"/>
        <v>-35661.529202962032</v>
      </c>
      <c r="R61" s="51">
        <f t="shared" si="199"/>
        <v>-60501.191707190817</v>
      </c>
      <c r="S61" s="51">
        <f t="shared" si="199"/>
        <v>-100308.25311041169</v>
      </c>
      <c r="T61" s="51">
        <f t="shared" si="199"/>
        <v>-163019.43140655584</v>
      </c>
      <c r="U61" s="51">
        <f t="shared" si="199"/>
        <v>-260083.12810669525</v>
      </c>
      <c r="V61" s="51">
        <f t="shared" si="199"/>
        <v>-407431.85027921625</v>
      </c>
      <c r="W61" s="51">
        <f t="shared" si="199"/>
        <v>-626106.2505620867</v>
      </c>
      <c r="X61" s="51">
        <f t="shared" si="199"/>
        <v>-941590.60677128891</v>
      </c>
      <c r="Y61" s="51">
        <f t="shared" si="199"/>
        <v>-1379794.5880772776</v>
      </c>
    </row>
    <row r="62" spans="3:26" ht="16" x14ac:dyDescent="0.2">
      <c r="C62" s="86"/>
      <c r="D62" s="86"/>
      <c r="E62" s="86"/>
      <c r="F62" s="86"/>
      <c r="G62" s="86"/>
      <c r="H62" s="86"/>
      <c r="I62" s="86"/>
      <c r="J62" s="86"/>
      <c r="K62" s="53"/>
      <c r="L62" s="86"/>
      <c r="M62" s="86"/>
      <c r="N62" s="86"/>
      <c r="O62" s="86"/>
      <c r="P62" s="86"/>
      <c r="Q62" s="86"/>
      <c r="R62" s="86"/>
      <c r="S62" s="86"/>
      <c r="T62" s="86"/>
      <c r="U62" s="86"/>
      <c r="V62" s="86"/>
      <c r="W62" s="86"/>
      <c r="X62" s="86"/>
      <c r="Y62" s="86"/>
    </row>
    <row r="63" spans="3:26" ht="16" x14ac:dyDescent="0.2">
      <c r="C63" s="86"/>
      <c r="D63" s="86"/>
      <c r="E63" s="86" t="s">
        <v>41</v>
      </c>
      <c r="F63" s="28"/>
      <c r="G63" s="28"/>
      <c r="H63" s="28">
        <v>1432</v>
      </c>
      <c r="I63" s="28">
        <v>3232</v>
      </c>
      <c r="J63" s="28">
        <v>8014</v>
      </c>
      <c r="K63" s="35"/>
      <c r="L63" s="91"/>
      <c r="M63" s="91"/>
      <c r="N63" s="91"/>
      <c r="O63" s="91"/>
      <c r="P63" s="91"/>
      <c r="Q63" s="91"/>
      <c r="R63" s="91"/>
      <c r="S63" s="91"/>
      <c r="T63" s="91"/>
      <c r="U63" s="91"/>
      <c r="V63" s="91"/>
      <c r="W63" s="91"/>
      <c r="X63" s="91"/>
      <c r="Y63" s="91"/>
    </row>
    <row r="64" spans="3:26" s="5" customFormat="1" ht="16" x14ac:dyDescent="0.2">
      <c r="C64" s="23"/>
      <c r="D64" s="23"/>
      <c r="E64" s="37" t="s">
        <v>24</v>
      </c>
      <c r="F64" s="38">
        <f t="shared" ref="F64:G64" si="200">IFERROR((F63-E63)/E63,0)</f>
        <v>0</v>
      </c>
      <c r="G64" s="38">
        <f t="shared" si="200"/>
        <v>0</v>
      </c>
      <c r="H64" s="38">
        <f>IFERROR((H63-G63)/G63,0)</f>
        <v>0</v>
      </c>
      <c r="I64" s="38">
        <f>IFERROR((I63-H63)/H63,0)</f>
        <v>1.2569832402234637</v>
      </c>
      <c r="J64" s="38">
        <f>IFERROR((J63-I63)/I63,0)</f>
        <v>1.4795792079207921</v>
      </c>
      <c r="K64" s="39">
        <f>IFERROR(AVERAGEIF(F64:J64, "&lt;&gt; 0"),0)</f>
        <v>1.368281224072128</v>
      </c>
      <c r="L64" s="38">
        <f>IFERROR((L63-J63)/J63,0)</f>
        <v>-1</v>
      </c>
      <c r="M64" s="38">
        <f t="shared" ref="M64" si="201">IFERROR((M63-L63)/L63,0)</f>
        <v>0</v>
      </c>
      <c r="N64" s="38">
        <f t="shared" ref="N64" si="202">IFERROR((N63-M63)/M63,0)</f>
        <v>0</v>
      </c>
      <c r="O64" s="38">
        <f t="shared" ref="O64" si="203">IFERROR((O63-N63)/N63,0)</f>
        <v>0</v>
      </c>
      <c r="P64" s="38">
        <f t="shared" ref="P64" si="204">IFERROR((P63-O63)/O63,0)</f>
        <v>0</v>
      </c>
      <c r="Q64" s="38">
        <f t="shared" ref="Q64" si="205">IFERROR((Q63-P63)/P63,0)</f>
        <v>0</v>
      </c>
      <c r="R64" s="38">
        <f t="shared" ref="R64" si="206">IFERROR((R63-Q63)/Q63,0)</f>
        <v>0</v>
      </c>
      <c r="S64" s="38">
        <f t="shared" ref="S64" si="207">IFERROR((S63-R63)/R63,0)</f>
        <v>0</v>
      </c>
      <c r="T64" s="38">
        <f t="shared" ref="T64" si="208">IFERROR((T63-S63)/S63,0)</f>
        <v>0</v>
      </c>
      <c r="U64" s="38">
        <f t="shared" ref="U64" si="209">IFERROR((U63-T63)/T63,0)</f>
        <v>0</v>
      </c>
      <c r="V64" s="38">
        <f t="shared" ref="V64" si="210">IFERROR((V63-U63)/U63,0)</f>
        <v>0</v>
      </c>
      <c r="W64" s="38">
        <f t="shared" ref="W64" si="211">IFERROR((W63-V63)/V63,0)</f>
        <v>0</v>
      </c>
      <c r="X64" s="38">
        <f t="shared" ref="X64" si="212">IFERROR((X63-W63)/W63,0)</f>
        <v>0</v>
      </c>
      <c r="Y64" s="38">
        <f t="shared" ref="Y64" si="213">IFERROR((Y63-X63)/X63,0)</f>
        <v>0</v>
      </c>
      <c r="Z64" s="10"/>
    </row>
    <row r="65" spans="3:26" ht="16" x14ac:dyDescent="0.2">
      <c r="C65" s="86"/>
      <c r="D65" s="86"/>
      <c r="E65" s="86" t="s">
        <v>42</v>
      </c>
      <c r="F65" s="28">
        <v>0</v>
      </c>
      <c r="G65" s="28">
        <v>0</v>
      </c>
      <c r="H65" s="28">
        <v>0</v>
      </c>
      <c r="I65" s="28">
        <v>26717</v>
      </c>
      <c r="J65" s="28">
        <v>27100</v>
      </c>
      <c r="K65" s="35"/>
      <c r="L65" s="91">
        <f>J65*(1+$K66)</f>
        <v>27488.490474229893</v>
      </c>
      <c r="M65" s="91">
        <f>L65*(1+$K66)</f>
        <v>27882.550131063748</v>
      </c>
      <c r="N65" s="91">
        <f t="shared" ref="N65" si="214">M65*(1+$K66)</f>
        <v>28282.258807194954</v>
      </c>
      <c r="O65" s="91">
        <f t="shared" ref="O65" si="215">N65*(1+$K66)</f>
        <v>28687.697483811178</v>
      </c>
      <c r="P65" s="91">
        <f t="shared" ref="P65" si="216">O65*(1+$K66)</f>
        <v>29098.948303001198</v>
      </c>
      <c r="Q65" s="91">
        <f t="shared" ref="Q65" si="217">P65*(1+$K66)</f>
        <v>29516.09458439692</v>
      </c>
      <c r="R65" s="91">
        <f t="shared" ref="R65" si="218">Q65*(1+$K66)</f>
        <v>29939.220842053994</v>
      </c>
      <c r="S65" s="91">
        <f t="shared" ref="S65" si="219">R65*(1+$K66)</f>
        <v>30368.412801574399</v>
      </c>
      <c r="T65" s="91">
        <f t="shared" ref="T65" si="220">S65*(1+$K66)</f>
        <v>30803.757417474502</v>
      </c>
      <c r="U65" s="91">
        <f t="shared" ref="U65" si="221">T65*(1+$K66)</f>
        <v>31245.342890802076</v>
      </c>
      <c r="V65" s="91">
        <f t="shared" ref="V65" si="222">U65*(1+$K66)</f>
        <v>31693.258687005888</v>
      </c>
      <c r="W65" s="91">
        <f t="shared" ref="W65" si="223">V65*(1+$K66)</f>
        <v>32147.595554061445</v>
      </c>
      <c r="X65" s="91">
        <f t="shared" ref="X65" si="224">W65*(1+$K66)</f>
        <v>32608.445540856577</v>
      </c>
      <c r="Y65" s="91">
        <f t="shared" ref="Y65" si="225">X65*(1+$K66)</f>
        <v>33075.902015840598</v>
      </c>
    </row>
    <row r="66" spans="3:26" s="5" customFormat="1" ht="16" x14ac:dyDescent="0.2">
      <c r="C66" s="23"/>
      <c r="D66" s="23"/>
      <c r="E66" s="37" t="s">
        <v>24</v>
      </c>
      <c r="F66" s="38">
        <f t="shared" ref="F66:G66" si="226">IFERROR((F65-E65)/E65,0)</f>
        <v>0</v>
      </c>
      <c r="G66" s="38">
        <f t="shared" si="226"/>
        <v>0</v>
      </c>
      <c r="H66" s="38">
        <f>IFERROR((H65-G65)/G65,0)</f>
        <v>0</v>
      </c>
      <c r="I66" s="38">
        <f>IFERROR((I65-H65)/H65,0)</f>
        <v>0</v>
      </c>
      <c r="J66" s="38">
        <f>IFERROR((J65-I65)/I65,0)</f>
        <v>1.4335441853501515E-2</v>
      </c>
      <c r="K66" s="39">
        <f>IFERROR(AVERAGEIF(F66:J66, "&lt;&gt; 0"),0)</f>
        <v>1.4335441853501515E-2</v>
      </c>
      <c r="L66" s="38">
        <f>IFERROR((L65-J65)/J65,0)</f>
        <v>1.4335441853501593E-2</v>
      </c>
      <c r="M66" s="38">
        <f t="shared" ref="M66" si="227">IFERROR((M65-L65)/L65,0)</f>
        <v>1.4335441853501595E-2</v>
      </c>
      <c r="N66" s="38">
        <f t="shared" ref="N66" si="228">IFERROR((N65-M65)/M65,0)</f>
        <v>1.4335441853501526E-2</v>
      </c>
      <c r="O66" s="38">
        <f t="shared" ref="O66" si="229">IFERROR((O65-N65)/N65,0)</f>
        <v>1.433544185350151E-2</v>
      </c>
      <c r="P66" s="38">
        <f t="shared" ref="P66" si="230">IFERROR((P65-O65)/O65,0)</f>
        <v>1.4335441853501614E-2</v>
      </c>
      <c r="Q66" s="38">
        <f t="shared" ref="Q66" si="231">IFERROR((Q65-P65)/P65,0)</f>
        <v>1.4335441853501586E-2</v>
      </c>
      <c r="R66" s="38">
        <f t="shared" ref="R66" si="232">IFERROR((R65-Q65)/Q65,0)</f>
        <v>1.4335441853501529E-2</v>
      </c>
      <c r="S66" s="38">
        <f t="shared" ref="S66" si="233">IFERROR((S65-R65)/R65,0)</f>
        <v>1.4335441853501505E-2</v>
      </c>
      <c r="T66" s="38">
        <f t="shared" ref="T66" si="234">IFERROR((T65-S65)/S65,0)</f>
        <v>1.4335441853501593E-2</v>
      </c>
      <c r="U66" s="38">
        <f t="shared" ref="U66" si="235">IFERROR((U65-T65)/T65,0)</f>
        <v>1.4335441853501579E-2</v>
      </c>
      <c r="V66" s="38">
        <f t="shared" ref="V66" si="236">IFERROR((V65-U65)/U65,0)</f>
        <v>1.4335441853501564E-2</v>
      </c>
      <c r="W66" s="38">
        <f t="shared" ref="W66" si="237">IFERROR((W65-V65)/V65,0)</f>
        <v>1.43354418535016E-2</v>
      </c>
      <c r="X66" s="38">
        <f t="shared" ref="X66" si="238">IFERROR((X65-W65)/W65,0)</f>
        <v>1.4335441853501534E-2</v>
      </c>
      <c r="Y66" s="38">
        <f t="shared" ref="Y66" si="239">IFERROR((Y65-X65)/X65,0)</f>
        <v>1.4335441853501539E-2</v>
      </c>
      <c r="Z66" s="10"/>
    </row>
    <row r="67" spans="3:26" ht="16" x14ac:dyDescent="0.2">
      <c r="C67" s="86"/>
      <c r="D67" s="86"/>
      <c r="E67" s="86" t="s">
        <v>43</v>
      </c>
      <c r="F67" s="28">
        <v>0</v>
      </c>
      <c r="G67" s="28">
        <v>0</v>
      </c>
      <c r="H67" s="28">
        <v>0</v>
      </c>
      <c r="I67" s="28">
        <v>14248</v>
      </c>
      <c r="J67" s="28">
        <v>19705</v>
      </c>
      <c r="K67" s="35"/>
      <c r="L67" s="91">
        <f>J67*(1+$K68)</f>
        <v>27252.037128017968</v>
      </c>
      <c r="M67" s="91">
        <f>L67*(1+$K68)</f>
        <v>37689.597951122545</v>
      </c>
      <c r="N67" s="91">
        <f t="shared" ref="N67" si="240">M67*(1+$K68)</f>
        <v>52124.75629048777</v>
      </c>
      <c r="O67" s="91">
        <f t="shared" ref="O67" si="241">N67*(1+$K68)</f>
        <v>72088.596484002075</v>
      </c>
      <c r="P67" s="91">
        <f t="shared" ref="P67" si="242">O67*(1+$K68)</f>
        <v>99698.609890318708</v>
      </c>
      <c r="Q67" s="91">
        <f t="shared" ref="Q67" si="243">P67*(1+$K68)</f>
        <v>137883.28943632302</v>
      </c>
      <c r="R67" s="91">
        <f t="shared" ref="R67" si="244">Q67*(1+$K68)</f>
        <v>190692.74412849138</v>
      </c>
      <c r="S67" s="91">
        <f t="shared" ref="S67" si="245">R67*(1+$K68)</f>
        <v>263728.27927090978</v>
      </c>
      <c r="T67" s="91">
        <f t="shared" ref="T67" si="246">S67*(1+$K68)</f>
        <v>364736.5063891969</v>
      </c>
      <c r="U67" s="91">
        <f t="shared" ref="U67" si="247">T67*(1+$K68)</f>
        <v>504430.99792245403</v>
      </c>
      <c r="V67" s="91">
        <f t="shared" ref="V67" si="248">U67*(1+$K68)</f>
        <v>697628.63658492116</v>
      </c>
      <c r="W67" s="91">
        <f t="shared" ref="W67" si="249">V67*(1+$K68)</f>
        <v>964821.18780922738</v>
      </c>
      <c r="X67" s="91">
        <f t="shared" ref="X67" si="250">W67*(1+$K68)</f>
        <v>1334348.7862002265</v>
      </c>
      <c r="Y67" s="91">
        <f t="shared" ref="Y67" si="251">X67*(1+$K68)</f>
        <v>1845405.8697413998</v>
      </c>
    </row>
    <row r="68" spans="3:26" s="5" customFormat="1" ht="16" x14ac:dyDescent="0.2">
      <c r="C68" s="23"/>
      <c r="D68" s="23"/>
      <c r="E68" s="37" t="s">
        <v>24</v>
      </c>
      <c r="F68" s="38">
        <f t="shared" ref="F68" si="252">IFERROR((F67-E67)/E67,0)</f>
        <v>0</v>
      </c>
      <c r="G68" s="38">
        <f t="shared" ref="G68" si="253">IFERROR((G67-F67)/F67,0)</f>
        <v>0</v>
      </c>
      <c r="H68" s="38">
        <f>IFERROR((H67-G67)/G67,0)</f>
        <v>0</v>
      </c>
      <c r="I68" s="38">
        <f>IFERROR((I67-H67)/H67,0)</f>
        <v>0</v>
      </c>
      <c r="J68" s="38">
        <f>IFERROR((J67-I67)/I67,0)</f>
        <v>0.38300112296462663</v>
      </c>
      <c r="K68" s="39">
        <f>IFERROR(AVERAGEIF(F68:J68, "&lt;&gt; 0"),0)</f>
        <v>0.38300112296462663</v>
      </c>
      <c r="L68" s="38">
        <f>IFERROR((L67-J67)/J67,0)</f>
        <v>0.38300112296462663</v>
      </c>
      <c r="M68" s="38">
        <f t="shared" ref="M68" si="254">IFERROR((M67-L67)/L67,0)</f>
        <v>0.38300112296462652</v>
      </c>
      <c r="N68" s="38">
        <f t="shared" ref="N68" si="255">IFERROR((N67-M67)/M67,0)</f>
        <v>0.38300112296462663</v>
      </c>
      <c r="O68" s="38">
        <f t="shared" ref="O68" si="256">IFERROR((O67-N67)/N67,0)</f>
        <v>0.38300112296462668</v>
      </c>
      <c r="P68" s="38">
        <f t="shared" ref="P68" si="257">IFERROR((P67-O67)/O67,0)</f>
        <v>0.38300112296462668</v>
      </c>
      <c r="Q68" s="38">
        <f t="shared" ref="Q68" si="258">IFERROR((Q67-P67)/P67,0)</f>
        <v>0.38300112296462674</v>
      </c>
      <c r="R68" s="38">
        <f t="shared" ref="R68" si="259">IFERROR((R67-Q67)/Q67,0)</f>
        <v>0.38300112296462668</v>
      </c>
      <c r="S68" s="38">
        <f t="shared" ref="S68" si="260">IFERROR((S67-R67)/R67,0)</f>
        <v>0.38300112296462663</v>
      </c>
      <c r="T68" s="38">
        <f t="shared" ref="T68" si="261">IFERROR((T67-S67)/S67,0)</f>
        <v>0.38300112296462668</v>
      </c>
      <c r="U68" s="38">
        <f t="shared" ref="U68" si="262">IFERROR((U67-T67)/T67,0)</f>
        <v>0.38300112296462663</v>
      </c>
      <c r="V68" s="38">
        <f t="shared" ref="V68" si="263">IFERROR((V67-U67)/U67,0)</f>
        <v>0.38300112296462663</v>
      </c>
      <c r="W68" s="38">
        <f t="shared" ref="W68" si="264">IFERROR((W67-V67)/V67,0)</f>
        <v>0.38300112296462663</v>
      </c>
      <c r="X68" s="38">
        <f t="shared" ref="X68" si="265">IFERROR((X67-W67)/W67,0)</f>
        <v>0.38300112296462674</v>
      </c>
      <c r="Y68" s="38">
        <f t="shared" ref="Y68" si="266">IFERROR((Y67-X67)/X67,0)</f>
        <v>0.38300112296462663</v>
      </c>
      <c r="Z68" s="10"/>
    </row>
    <row r="69" spans="3:26" ht="16" x14ac:dyDescent="0.2">
      <c r="C69" s="86"/>
      <c r="D69" s="86"/>
      <c r="E69" s="86" t="s">
        <v>44</v>
      </c>
      <c r="F69" s="93">
        <f>F65-F67</f>
        <v>0</v>
      </c>
      <c r="G69" s="93">
        <f t="shared" ref="G69:Y69" si="267">G65-G67</f>
        <v>0</v>
      </c>
      <c r="H69" s="93">
        <f t="shared" si="267"/>
        <v>0</v>
      </c>
      <c r="I69" s="93">
        <f t="shared" si="267"/>
        <v>12469</v>
      </c>
      <c r="J69" s="93">
        <f t="shared" si="267"/>
        <v>7395</v>
      </c>
      <c r="K69" s="48"/>
      <c r="L69" s="93">
        <f t="shared" si="267"/>
        <v>236.45334621192524</v>
      </c>
      <c r="M69" s="93">
        <f t="shared" si="267"/>
        <v>-9807.0478200587968</v>
      </c>
      <c r="N69" s="93">
        <f t="shared" si="267"/>
        <v>-23842.497483292816</v>
      </c>
      <c r="O69" s="93">
        <f t="shared" si="267"/>
        <v>-43400.899000190897</v>
      </c>
      <c r="P69" s="93">
        <f t="shared" si="267"/>
        <v>-70599.661587317503</v>
      </c>
      <c r="Q69" s="93">
        <f t="shared" si="267"/>
        <v>-108367.19485192609</v>
      </c>
      <c r="R69" s="93">
        <f t="shared" si="267"/>
        <v>-160753.52328643738</v>
      </c>
      <c r="S69" s="93">
        <f t="shared" si="267"/>
        <v>-233359.86646933539</v>
      </c>
      <c r="T69" s="93">
        <f t="shared" si="267"/>
        <v>-333932.74897172238</v>
      </c>
      <c r="U69" s="93">
        <f t="shared" si="267"/>
        <v>-473185.65503165196</v>
      </c>
      <c r="V69" s="93">
        <f t="shared" si="267"/>
        <v>-665935.37789791531</v>
      </c>
      <c r="W69" s="93">
        <f t="shared" si="267"/>
        <v>-932673.59225516592</v>
      </c>
      <c r="X69" s="93">
        <f t="shared" si="267"/>
        <v>-1301740.3406593699</v>
      </c>
      <c r="Y69" s="93">
        <f t="shared" si="267"/>
        <v>-1812329.9677255591</v>
      </c>
    </row>
    <row r="70" spans="3:26" s="5" customFormat="1" ht="16" x14ac:dyDescent="0.2">
      <c r="C70" s="23"/>
      <c r="D70" s="23"/>
      <c r="E70" s="37" t="s">
        <v>24</v>
      </c>
      <c r="F70" s="38">
        <f t="shared" ref="F70" si="268">IFERROR((F69-E69)/E69,0)</f>
        <v>0</v>
      </c>
      <c r="G70" s="38">
        <f t="shared" ref="G70" si="269">IFERROR((G69-F69)/F69,0)</f>
        <v>0</v>
      </c>
      <c r="H70" s="38">
        <f>IFERROR((H69-G69)/G69,0)</f>
        <v>0</v>
      </c>
      <c r="I70" s="38">
        <f>IFERROR((I69-H69)/H69,0)</f>
        <v>0</v>
      </c>
      <c r="J70" s="38">
        <f>IFERROR((J69-I69)/I69,0)</f>
        <v>-0.40692918437725561</v>
      </c>
      <c r="K70" s="39">
        <f>IFERROR(AVERAGEIF(F70:J70, "&lt;&gt; 0"),0)</f>
        <v>-0.40692918437725561</v>
      </c>
      <c r="L70" s="38">
        <f>IFERROR((L69-J69)/J69,0)</f>
        <v>-0.9680252405392934</v>
      </c>
      <c r="M70" s="38">
        <f t="shared" ref="M70" si="270">IFERROR((M69-L69)/L69,0)</f>
        <v>-42.475614437991787</v>
      </c>
      <c r="N70" s="38">
        <f t="shared" ref="N70" si="271">IFERROR((N69-M69)/M69,0)</f>
        <v>1.4311595008771836</v>
      </c>
      <c r="O70" s="38">
        <f t="shared" ref="O70" si="272">IFERROR((O69-N69)/N69,0)</f>
        <v>0.82031681163448855</v>
      </c>
      <c r="P70" s="38">
        <f t="shared" ref="P70" si="273">IFERROR((P69-O69)/O69,0)</f>
        <v>0.6266866174133161</v>
      </c>
      <c r="Q70" s="38">
        <f t="shared" ref="Q70" si="274">IFERROR((Q69-P69)/P69,0)</f>
        <v>0.53495346033490243</v>
      </c>
      <c r="R70" s="38">
        <f t="shared" ref="R70" si="275">IFERROR((R69-Q69)/Q69,0)</f>
        <v>0.4834150086296175</v>
      </c>
      <c r="S70" s="38">
        <f t="shared" ref="S70" si="276">IFERROR((S69-R69)/R69,0)</f>
        <v>0.45166253092646047</v>
      </c>
      <c r="T70" s="38">
        <f t="shared" ref="T70" si="277">IFERROR((T69-S69)/S69,0)</f>
        <v>0.43097763134691691</v>
      </c>
      <c r="U70" s="38">
        <f t="shared" ref="U70" si="278">IFERROR((U69-T69)/T69,0)</f>
        <v>0.41700883333165262</v>
      </c>
      <c r="V70" s="38">
        <f t="shared" ref="V70" si="279">IFERROR((V69-U69)/U69,0)</f>
        <v>0.4073448144859127</v>
      </c>
      <c r="W70" s="38">
        <f t="shared" ref="W70" si="280">IFERROR((W69-V69)/V69,0)</f>
        <v>0.40054669448443131</v>
      </c>
      <c r="X70" s="38">
        <f t="shared" ref="X70" si="281">IFERROR((X69-W69)/W69,0)</f>
        <v>0.39570837157704442</v>
      </c>
      <c r="Y70" s="38">
        <f t="shared" ref="Y70" si="282">IFERROR((Y69-X69)/X69,0)</f>
        <v>0.392236155797062</v>
      </c>
      <c r="Z70" s="10"/>
    </row>
    <row r="71" spans="3:26" ht="16" x14ac:dyDescent="0.2">
      <c r="C71" s="86"/>
      <c r="D71" s="86"/>
      <c r="E71" s="86" t="s">
        <v>45</v>
      </c>
      <c r="F71" s="93"/>
      <c r="G71" s="93">
        <f>G69-F69</f>
        <v>0</v>
      </c>
      <c r="H71" s="93">
        <f>H69-G69</f>
        <v>0</v>
      </c>
      <c r="I71" s="93">
        <f>I69-H69</f>
        <v>12469</v>
      </c>
      <c r="J71" s="93">
        <f>J69-I69</f>
        <v>-5074</v>
      </c>
      <c r="K71" s="53"/>
      <c r="L71" s="93">
        <f>L69-J69</f>
        <v>-7158.5466537880748</v>
      </c>
      <c r="M71" s="93">
        <f>M69-L69</f>
        <v>-10043.501166270722</v>
      </c>
      <c r="N71" s="93">
        <f t="shared" ref="N71:Y71" si="283">N69-M69</f>
        <v>-14035.44966323402</v>
      </c>
      <c r="O71" s="93">
        <f t="shared" si="283"/>
        <v>-19558.40151689808</v>
      </c>
      <c r="P71" s="93">
        <f t="shared" si="283"/>
        <v>-27198.762587126606</v>
      </c>
      <c r="Q71" s="93">
        <f t="shared" si="283"/>
        <v>-37767.533264608588</v>
      </c>
      <c r="R71" s="93">
        <f t="shared" si="283"/>
        <v>-52386.328434511292</v>
      </c>
      <c r="S71" s="93">
        <f t="shared" si="283"/>
        <v>-72606.34318289801</v>
      </c>
      <c r="T71" s="93">
        <f t="shared" si="283"/>
        <v>-100572.88250238699</v>
      </c>
      <c r="U71" s="93">
        <f t="shared" si="283"/>
        <v>-139252.90605992958</v>
      </c>
      <c r="V71" s="93">
        <f t="shared" si="283"/>
        <v>-192749.72286626336</v>
      </c>
      <c r="W71" s="93">
        <f t="shared" si="283"/>
        <v>-266738.2143572506</v>
      </c>
      <c r="X71" s="93">
        <f t="shared" si="283"/>
        <v>-369066.74840420403</v>
      </c>
      <c r="Y71" s="93">
        <f t="shared" si="283"/>
        <v>-510589.62706618919</v>
      </c>
    </row>
    <row r="72" spans="3:26" s="5" customFormat="1" ht="16" x14ac:dyDescent="0.2">
      <c r="C72" s="23"/>
      <c r="D72" s="23"/>
      <c r="E72" s="37" t="s">
        <v>24</v>
      </c>
      <c r="F72" s="38">
        <f t="shared" ref="F72" si="284">IFERROR((F71-E71)/E71,0)</f>
        <v>0</v>
      </c>
      <c r="G72" s="38">
        <f t="shared" ref="G72" si="285">IFERROR((G71-F71)/F71,0)</f>
        <v>0</v>
      </c>
      <c r="H72" s="38">
        <f>IFERROR((H71-G71)/G71,0)</f>
        <v>0</v>
      </c>
      <c r="I72" s="38">
        <f>IFERROR((I71-H71)/H71,0)</f>
        <v>0</v>
      </c>
      <c r="J72" s="38">
        <f>IFERROR((J71-I71)/I71,0)</f>
        <v>-1.4069291843772556</v>
      </c>
      <c r="K72" s="39">
        <f>IFERROR(AVERAGEIF(F72:J72, "&lt;&gt; 0"),0)</f>
        <v>-1.4069291843772556</v>
      </c>
      <c r="L72" s="38">
        <f>IFERROR((L71-J71)/J71,0)</f>
        <v>0.4108290606598492</v>
      </c>
      <c r="M72" s="38">
        <f t="shared" ref="M72" si="286">IFERROR((M71-L71)/L71,0)</f>
        <v>0.40300841106567648</v>
      </c>
      <c r="N72" s="38">
        <f t="shared" ref="N72" si="287">IFERROR((N71-M71)/M71,0)</f>
        <v>0.39746582699363175</v>
      </c>
      <c r="O72" s="38">
        <f t="shared" ref="O72" si="288">IFERROR((O71-N71)/N71,0)</f>
        <v>0.39350017179224978</v>
      </c>
      <c r="P72" s="38">
        <f t="shared" ref="P72" si="289">IFERROR((P71-O71)/O71,0)</f>
        <v>0.39064343083597103</v>
      </c>
      <c r="Q72" s="38">
        <f t="shared" ref="Q72" si="290">IFERROR((Q71-P71)/P71,0)</f>
        <v>0.38857542300414305</v>
      </c>
      <c r="R72" s="38">
        <f t="shared" ref="R72" si="291">IFERROR((R71-Q71)/Q71,0)</f>
        <v>0.38707307325262269</v>
      </c>
      <c r="S72" s="38">
        <f t="shared" ref="S72" si="292">IFERROR((S71-R71)/R71,0)</f>
        <v>0.38597884892169865</v>
      </c>
      <c r="T72" s="38">
        <f t="shared" ref="T72" si="293">IFERROR((T71-S71)/S71,0)</f>
        <v>0.38518038636156415</v>
      </c>
      <c r="U72" s="38">
        <f t="shared" ref="U72" si="294">IFERROR((U71-T71)/T71,0)</f>
        <v>0.38459694696156854</v>
      </c>
      <c r="V72" s="38">
        <f t="shared" ref="V72" si="295">IFERROR((V71-U71)/U71,0)</f>
        <v>0.38417020024925458</v>
      </c>
      <c r="W72" s="38">
        <f t="shared" ref="W72" si="296">IFERROR((W71-V71)/V71,0)</f>
        <v>0.38385783590632244</v>
      </c>
      <c r="X72" s="38">
        <f t="shared" ref="X72" si="297">IFERROR((X71-W71)/W71,0)</f>
        <v>0.38362907352263259</v>
      </c>
      <c r="Y72" s="38">
        <f t="shared" ref="Y72" si="298">IFERROR((Y71-X71)/X71,0)</f>
        <v>0.38346147214267184</v>
      </c>
      <c r="Z72" s="10"/>
    </row>
    <row r="73" spans="3:26" ht="16" x14ac:dyDescent="0.2">
      <c r="C73" s="86"/>
      <c r="D73" s="86"/>
      <c r="E73" s="86"/>
      <c r="F73" s="86"/>
      <c r="G73" s="86"/>
      <c r="H73" s="86"/>
      <c r="I73" s="86"/>
      <c r="J73" s="86"/>
      <c r="K73" s="53"/>
      <c r="L73" s="86"/>
      <c r="M73" s="86"/>
      <c r="N73" s="86"/>
      <c r="O73" s="86"/>
      <c r="P73" s="86"/>
      <c r="Q73" s="86"/>
      <c r="R73" s="86"/>
      <c r="S73" s="86"/>
      <c r="T73" s="86"/>
      <c r="U73" s="86"/>
      <c r="V73" s="86"/>
      <c r="W73" s="86"/>
      <c r="X73" s="86"/>
      <c r="Y73" s="86"/>
    </row>
    <row r="74" spans="3:26" ht="16" x14ac:dyDescent="0.2">
      <c r="C74" s="86"/>
      <c r="D74" s="86"/>
      <c r="E74" s="43" t="s">
        <v>46</v>
      </c>
      <c r="F74" s="45">
        <f>F52-SUM(F63,F71)+F49-IF(F56=0,F60,F56)</f>
        <v>0</v>
      </c>
      <c r="G74" s="45">
        <f t="shared" ref="G74:Y74" si="299">G52-SUM(G63,G71)+G49-IF(G56=0,G60,G56)</f>
        <v>0</v>
      </c>
      <c r="H74" s="45">
        <f t="shared" si="299"/>
        <v>-1462</v>
      </c>
      <c r="I74" s="45">
        <f t="shared" si="299"/>
        <v>-13999.324594723268</v>
      </c>
      <c r="J74" s="45">
        <f t="shared" si="299"/>
        <v>2855.6461472601804</v>
      </c>
      <c r="K74" s="46"/>
      <c r="L74" s="45">
        <f t="shared" si="299"/>
        <v>19874.230428338826</v>
      </c>
      <c r="M74" s="45">
        <f t="shared" si="299"/>
        <v>34635.199750438005</v>
      </c>
      <c r="N74" s="45">
        <f t="shared" si="299"/>
        <v>58472.779745522486</v>
      </c>
      <c r="O74" s="45">
        <f t="shared" si="299"/>
        <v>96501.949076622303</v>
      </c>
      <c r="P74" s="45">
        <f t="shared" si="299"/>
        <v>156554.5200784466</v>
      </c>
      <c r="Q74" s="45">
        <f t="shared" si="299"/>
        <v>250548.28540479662</v>
      </c>
      <c r="R74" s="45">
        <f t="shared" si="299"/>
        <v>396504.97732958145</v>
      </c>
      <c r="S74" s="45">
        <f t="shared" si="299"/>
        <v>621496.73368378973</v>
      </c>
      <c r="T74" s="45">
        <f t="shared" si="299"/>
        <v>965899.61118786107</v>
      </c>
      <c r="U74" s="45">
        <f t="shared" si="299"/>
        <v>1489446.9778854644</v>
      </c>
      <c r="V74" s="45">
        <f t="shared" si="299"/>
        <v>2279686.108760613</v>
      </c>
      <c r="W74" s="45">
        <f t="shared" si="299"/>
        <v>3463498.1755924118</v>
      </c>
      <c r="X74" s="45">
        <f t="shared" si="299"/>
        <v>5222233.2287211334</v>
      </c>
      <c r="Y74" s="45">
        <f t="shared" si="299"/>
        <v>7810504.383934794</v>
      </c>
    </row>
    <row r="75" spans="3:26" s="5" customFormat="1" ht="16" x14ac:dyDescent="0.2">
      <c r="C75" s="23"/>
      <c r="D75" s="23"/>
      <c r="E75" s="37" t="s">
        <v>24</v>
      </c>
      <c r="F75" s="38">
        <f t="shared" ref="F75" si="300">IFERROR((F74-E74)/E74,0)</f>
        <v>0</v>
      </c>
      <c r="G75" s="38">
        <f t="shared" ref="G75" si="301">IFERROR((G74-F74)/F74,0)</f>
        <v>0</v>
      </c>
      <c r="H75" s="38">
        <f>IFERROR((H74-G74)/G74,0)</f>
        <v>0</v>
      </c>
      <c r="I75" s="38">
        <f>IFERROR((I74-H74)/H74,0)</f>
        <v>8.5754614190993621</v>
      </c>
      <c r="J75" s="38">
        <f>IFERROR((J74-I74)/I74,0)</f>
        <v>-1.2039845656794437</v>
      </c>
      <c r="K75" s="39">
        <f>IFERROR(AVERAGEIF(F75:J75, "&lt;&gt; 0"),0)</f>
        <v>3.6857384267099591</v>
      </c>
      <c r="L75" s="38">
        <f>IFERROR((L74-J74)/J74,0)</f>
        <v>5.9596264395036993</v>
      </c>
      <c r="M75" s="38">
        <f t="shared" ref="M75" si="302">IFERROR((M74-L74)/L74,0)</f>
        <v>0.74271903887414903</v>
      </c>
      <c r="N75" s="38">
        <f t="shared" ref="N75" si="303">IFERROR((N74-M74)/M74,0)</f>
        <v>0.68824722152159745</v>
      </c>
      <c r="O75" s="38">
        <f t="shared" ref="O75" si="304">IFERROR((O74-N74)/N74,0)</f>
        <v>0.65037389186225358</v>
      </c>
      <c r="P75" s="38">
        <f t="shared" ref="P75" si="305">IFERROR((P74-O74)/O74,0)</f>
        <v>0.62229386635644746</v>
      </c>
      <c r="Q75" s="38">
        <f t="shared" ref="Q75" si="306">IFERROR((Q74-P74)/P74,0)</f>
        <v>0.60038998094243123</v>
      </c>
      <c r="R75" s="38">
        <f t="shared" ref="R75" si="307">IFERROR((R74-Q74)/Q74,0)</f>
        <v>0.58254915490230119</v>
      </c>
      <c r="S75" s="38">
        <f t="shared" ref="S75" si="308">IFERROR((S74-R74)/R74,0)</f>
        <v>0.56743740739272341</v>
      </c>
      <c r="T75" s="38">
        <f t="shared" ref="T75" si="309">IFERROR((T74-S74)/S74,0)</f>
        <v>0.55415074422466637</v>
      </c>
      <c r="U75" s="38">
        <f t="shared" ref="U75" si="310">IFERROR((U74-T74)/T74,0)</f>
        <v>0.54203082870459596</v>
      </c>
      <c r="V75" s="38">
        <f t="shared" ref="V75" si="311">IFERROR((V74-U74)/U74,0)</f>
        <v>0.53055875275065778</v>
      </c>
      <c r="W75" s="38">
        <f t="shared" ref="W75" si="312">IFERROR((W74-V74)/V74,0)</f>
        <v>0.5192873098987284</v>
      </c>
      <c r="X75" s="38">
        <f t="shared" ref="X75" si="313">IFERROR((X74-W74)/W74,0)</f>
        <v>0.50779153444418945</v>
      </c>
      <c r="Y75" s="38">
        <f t="shared" ref="Y75" si="314">IFERROR((Y74-X74)/X74,0)</f>
        <v>0.49562534683030601</v>
      </c>
      <c r="Z75" s="10"/>
    </row>
    <row r="76" spans="3:26" x14ac:dyDescent="0.2">
      <c r="K76" s="1"/>
    </row>
    <row r="77" spans="3:26" x14ac:dyDescent="0.2">
      <c r="H77" s="9"/>
      <c r="K77" s="1"/>
    </row>
    <row r="78" spans="3:26" ht="19" x14ac:dyDescent="0.25">
      <c r="E78" s="7" t="s">
        <v>47</v>
      </c>
    </row>
    <row r="80" spans="3:26" ht="16" x14ac:dyDescent="0.2">
      <c r="E80" s="86" t="str">
        <f>IF(F32=A35, "Equity Value", "Market Cap")</f>
        <v>Equity Value</v>
      </c>
      <c r="F80" s="28">
        <f>62131-30548</f>
        <v>31583</v>
      </c>
      <c r="G80" s="86"/>
      <c r="H80" s="86"/>
    </row>
    <row r="81" spans="5:8" ht="16" x14ac:dyDescent="0.2">
      <c r="E81" s="86" t="s">
        <v>48</v>
      </c>
      <c r="F81" s="28">
        <f>30548-19705</f>
        <v>10843</v>
      </c>
      <c r="G81" s="86"/>
      <c r="H81" s="86"/>
    </row>
    <row r="82" spans="5:8" ht="16" x14ac:dyDescent="0.2">
      <c r="E82" s="86" t="str">
        <f>"Total Value of " &amp; F32</f>
        <v>Total Value of Business</v>
      </c>
      <c r="F82" s="93">
        <f>SUM(F80:F81)</f>
        <v>42426</v>
      </c>
      <c r="G82" s="86"/>
      <c r="H82" s="86"/>
    </row>
    <row r="83" spans="5:8" ht="16" x14ac:dyDescent="0.2">
      <c r="E83" s="86"/>
      <c r="F83" s="86"/>
      <c r="G83" s="86"/>
      <c r="H83" s="86"/>
    </row>
    <row r="84" spans="5:8" ht="16" x14ac:dyDescent="0.2">
      <c r="E84" s="86" t="s">
        <v>49</v>
      </c>
      <c r="F84" s="94">
        <f>(F88-F86)*F87+F86</f>
        <v>9.5250000000000001E-2</v>
      </c>
      <c r="G84" s="86"/>
      <c r="H84" s="86"/>
    </row>
    <row r="85" spans="5:8" ht="16" x14ac:dyDescent="0.2">
      <c r="E85" s="86" t="s">
        <v>50</v>
      </c>
      <c r="F85" s="86"/>
      <c r="G85" s="86"/>
      <c r="H85" s="86"/>
    </row>
    <row r="86" spans="5:8" ht="16" x14ac:dyDescent="0.2">
      <c r="E86" s="4" t="s">
        <v>51</v>
      </c>
      <c r="F86" s="29">
        <v>0.03</v>
      </c>
      <c r="G86" s="86"/>
      <c r="H86" s="86"/>
    </row>
    <row r="87" spans="5:8" ht="16" x14ac:dyDescent="0.2">
      <c r="E87" s="4" t="s">
        <v>52</v>
      </c>
      <c r="F87" s="27">
        <v>1.45</v>
      </c>
      <c r="G87" s="86"/>
      <c r="H87" s="86"/>
    </row>
    <row r="88" spans="5:8" ht="16" x14ac:dyDescent="0.2">
      <c r="E88" s="4" t="s">
        <v>53</v>
      </c>
      <c r="F88" s="30">
        <v>7.4999999999999997E-2</v>
      </c>
      <c r="G88" s="86"/>
      <c r="H88" s="86"/>
    </row>
    <row r="89" spans="5:8" ht="16" x14ac:dyDescent="0.2">
      <c r="E89" s="86"/>
      <c r="F89" s="86"/>
      <c r="G89" s="86"/>
      <c r="H89" s="86"/>
    </row>
    <row r="90" spans="5:8" ht="16" x14ac:dyDescent="0.2">
      <c r="E90" s="86" t="s">
        <v>54</v>
      </c>
      <c r="F90" s="31">
        <v>0.03</v>
      </c>
      <c r="G90" s="86"/>
      <c r="H90" s="86"/>
    </row>
    <row r="91" spans="5:8" ht="16" x14ac:dyDescent="0.2">
      <c r="E91" s="86" t="s">
        <v>55</v>
      </c>
      <c r="F91" s="95">
        <f>F80/F82</f>
        <v>0.74442558808277948</v>
      </c>
      <c r="G91" s="86"/>
      <c r="H91" s="86"/>
    </row>
    <row r="92" spans="5:8" ht="16" x14ac:dyDescent="0.2">
      <c r="E92" s="86" t="s">
        <v>56</v>
      </c>
      <c r="F92" s="95">
        <f>F81/F82</f>
        <v>0.25557441191722058</v>
      </c>
      <c r="G92" s="86"/>
      <c r="H92" s="86"/>
    </row>
    <row r="93" spans="5:8" ht="16" x14ac:dyDescent="0.2">
      <c r="E93" s="86" t="s">
        <v>57</v>
      </c>
      <c r="F93" s="96">
        <f>(F91*F84)+(F92*F90*(1-L59))</f>
        <v>7.6883144887568949E-2</v>
      </c>
      <c r="G93" s="86"/>
      <c r="H93" s="86"/>
    </row>
    <row r="95" spans="5:8" ht="19" x14ac:dyDescent="0.25">
      <c r="E95" s="7" t="s">
        <v>58</v>
      </c>
    </row>
    <row r="97" spans="3:21" ht="16" x14ac:dyDescent="0.2">
      <c r="C97" s="5" t="s">
        <v>59</v>
      </c>
      <c r="D97" s="27">
        <v>2030</v>
      </c>
      <c r="E97" s="86" t="str">
        <f>"Year " &amp;D97&amp; " Free Cash Flow"</f>
        <v>Year 2030 Free Cash Flow</v>
      </c>
      <c r="F97" s="97">
        <f>INDEX(E30:Y74,MATCH($E$46,$E$30:$E$74,0),MATCH($D$97,$E$30:$Y$30,0))</f>
        <v>979809.89686222654</v>
      </c>
    </row>
    <row r="98" spans="3:21" ht="16" x14ac:dyDescent="0.2">
      <c r="D98" s="86"/>
      <c r="E98" s="86" t="s">
        <v>60</v>
      </c>
      <c r="F98" s="98">
        <f>(1+F31)/(F93-F31)</f>
        <v>19.440752866704223</v>
      </c>
    </row>
    <row r="99" spans="3:21" ht="16" x14ac:dyDescent="0.2">
      <c r="D99" s="86"/>
      <c r="E99" s="16" t="s">
        <v>58</v>
      </c>
      <c r="F99" s="17">
        <f>F98*F97</f>
        <v>19048242.061249498</v>
      </c>
    </row>
    <row r="100" spans="3:21" ht="16" x14ac:dyDescent="0.2">
      <c r="D100" s="86"/>
      <c r="E100" s="86"/>
      <c r="F100" s="86"/>
    </row>
    <row r="101" spans="3:21" ht="19" x14ac:dyDescent="0.25">
      <c r="E101" s="7" t="s">
        <v>61</v>
      </c>
    </row>
    <row r="102" spans="3:21" x14ac:dyDescent="0.2">
      <c r="G102" s="3" t="str">
        <f t="shared" ref="G102:P102" ca="1" si="315">IF(G103&lt;YEAR($F$29),"H", "P")</f>
        <v>H</v>
      </c>
      <c r="H102" s="3" t="str">
        <f t="shared" ca="1" si="315"/>
        <v>P</v>
      </c>
      <c r="I102" s="3" t="str">
        <f t="shared" ca="1" si="315"/>
        <v>P</v>
      </c>
      <c r="J102" s="3" t="str">
        <f t="shared" ca="1" si="315"/>
        <v>P</v>
      </c>
      <c r="K102" s="3" t="str">
        <f t="shared" ca="1" si="315"/>
        <v>P</v>
      </c>
      <c r="L102" s="3" t="str">
        <f t="shared" ca="1" si="315"/>
        <v>P</v>
      </c>
      <c r="M102" s="3" t="str">
        <f t="shared" ca="1" si="315"/>
        <v>P</v>
      </c>
      <c r="N102" s="3" t="str">
        <f t="shared" ca="1" si="315"/>
        <v>P</v>
      </c>
      <c r="O102" s="3" t="str">
        <f t="shared" ca="1" si="315"/>
        <v>P</v>
      </c>
      <c r="P102" s="3" t="str">
        <f t="shared" ca="1" si="315"/>
        <v>P</v>
      </c>
      <c r="Q102" s="3" t="str">
        <f t="shared" ref="Q102" ca="1" si="316">IF(Q103&lt;YEAR($F$29),"H", "P")</f>
        <v>P</v>
      </c>
      <c r="R102" s="3" t="str">
        <f t="shared" ref="R102" ca="1" si="317">IF(R103&lt;YEAR($F$29),"H", "P")</f>
        <v>P</v>
      </c>
      <c r="S102" s="3" t="str">
        <f t="shared" ref="S102" ca="1" si="318">IF(S103&lt;YEAR($F$29),"H", "P")</f>
        <v>P</v>
      </c>
      <c r="T102" s="3" t="str">
        <f t="shared" ref="T102" ca="1" si="319">IF(T103&lt;YEAR($F$29),"H", "P")</f>
        <v>P</v>
      </c>
      <c r="U102" s="3" t="str">
        <f t="shared" ref="U102" ca="1" si="320">IF(U103&lt;YEAR($F$29),"H", "P")</f>
        <v>P</v>
      </c>
    </row>
    <row r="103" spans="3:21" ht="16" x14ac:dyDescent="0.2">
      <c r="D103" s="86"/>
      <c r="E103" s="86"/>
      <c r="F103" s="86"/>
      <c r="G103" s="86">
        <f>J30</f>
        <v>2021</v>
      </c>
      <c r="H103" s="86">
        <f>G103+1</f>
        <v>2022</v>
      </c>
      <c r="I103" s="86">
        <f t="shared" ref="I103:M103" si="321">H103+1</f>
        <v>2023</v>
      </c>
      <c r="J103" s="86">
        <f t="shared" si="321"/>
        <v>2024</v>
      </c>
      <c r="K103" s="86">
        <f t="shared" si="321"/>
        <v>2025</v>
      </c>
      <c r="L103" s="86">
        <f t="shared" si="321"/>
        <v>2026</v>
      </c>
      <c r="M103" s="86">
        <f t="shared" si="321"/>
        <v>2027</v>
      </c>
      <c r="N103" s="86">
        <f t="shared" ref="N103:P103" si="322">M103+1</f>
        <v>2028</v>
      </c>
      <c r="O103" s="86">
        <f t="shared" si="322"/>
        <v>2029</v>
      </c>
      <c r="P103" s="86">
        <f t="shared" si="322"/>
        <v>2030</v>
      </c>
      <c r="Q103" s="86">
        <f t="shared" ref="Q103:Q104" si="323">P103+1</f>
        <v>2031</v>
      </c>
      <c r="R103" s="86">
        <f t="shared" ref="R103:R104" si="324">Q103+1</f>
        <v>2032</v>
      </c>
      <c r="S103" s="86">
        <f t="shared" ref="S103:S104" si="325">R103+1</f>
        <v>2033</v>
      </c>
      <c r="T103" s="86">
        <f t="shared" ref="T103:T104" si="326">S103+1</f>
        <v>2034</v>
      </c>
      <c r="U103" s="86">
        <f t="shared" ref="U103:U104" si="327">T103+1</f>
        <v>2035</v>
      </c>
    </row>
    <row r="104" spans="3:21" ht="16" x14ac:dyDescent="0.2">
      <c r="D104" s="86"/>
      <c r="E104" s="86"/>
      <c r="F104" s="22" t="s">
        <v>62</v>
      </c>
      <c r="G104" s="23">
        <v>1</v>
      </c>
      <c r="H104" s="23">
        <f>G104+1</f>
        <v>2</v>
      </c>
      <c r="I104" s="23">
        <f t="shared" ref="I104:M104" si="328">H104+1</f>
        <v>3</v>
      </c>
      <c r="J104" s="23">
        <f t="shared" si="328"/>
        <v>4</v>
      </c>
      <c r="K104" s="23">
        <f t="shared" si="328"/>
        <v>5</v>
      </c>
      <c r="L104" s="23">
        <f t="shared" si="328"/>
        <v>6</v>
      </c>
      <c r="M104" s="23">
        <f t="shared" si="328"/>
        <v>7</v>
      </c>
      <c r="N104" s="23">
        <f t="shared" ref="N104:P104" si="329">M104+1</f>
        <v>8</v>
      </c>
      <c r="O104" s="23">
        <f t="shared" si="329"/>
        <v>9</v>
      </c>
      <c r="P104" s="23">
        <f t="shared" si="329"/>
        <v>10</v>
      </c>
      <c r="Q104" s="23">
        <f t="shared" si="323"/>
        <v>11</v>
      </c>
      <c r="R104" s="23">
        <f t="shared" si="324"/>
        <v>12</v>
      </c>
      <c r="S104" s="23">
        <f t="shared" si="325"/>
        <v>13</v>
      </c>
      <c r="T104" s="23">
        <f t="shared" si="326"/>
        <v>14</v>
      </c>
      <c r="U104" s="23">
        <f t="shared" si="327"/>
        <v>15</v>
      </c>
    </row>
    <row r="105" spans="3:21" ht="16" x14ac:dyDescent="0.2">
      <c r="D105" s="86"/>
      <c r="E105" s="23" t="s">
        <v>46</v>
      </c>
      <c r="F105" s="23"/>
      <c r="G105" s="24">
        <f t="shared" ref="G105:U105" si="330">INDEX($E$30:$Y$74,MATCH($E$105,$E$30:$E$74,0),MATCH(G$103,$E$30:$Y$30,0))</f>
        <v>2855.6461472601804</v>
      </c>
      <c r="H105" s="24">
        <f t="shared" si="330"/>
        <v>19874.230428338826</v>
      </c>
      <c r="I105" s="24">
        <f t="shared" si="330"/>
        <v>34635.199750438005</v>
      </c>
      <c r="J105" s="24">
        <f t="shared" si="330"/>
        <v>58472.779745522486</v>
      </c>
      <c r="K105" s="24">
        <f t="shared" si="330"/>
        <v>96501.949076622303</v>
      </c>
      <c r="L105" s="24">
        <f t="shared" si="330"/>
        <v>156554.5200784466</v>
      </c>
      <c r="M105" s="24">
        <f t="shared" si="330"/>
        <v>250548.28540479662</v>
      </c>
      <c r="N105" s="24">
        <f t="shared" si="330"/>
        <v>396504.97732958145</v>
      </c>
      <c r="O105" s="24">
        <f t="shared" si="330"/>
        <v>621496.73368378973</v>
      </c>
      <c r="P105" s="24">
        <f t="shared" si="330"/>
        <v>965899.61118786107</v>
      </c>
      <c r="Q105" s="24">
        <f t="shared" si="330"/>
        <v>1489446.9778854644</v>
      </c>
      <c r="R105" s="24">
        <f t="shared" si="330"/>
        <v>2279686.108760613</v>
      </c>
      <c r="S105" s="24">
        <f t="shared" si="330"/>
        <v>3463498.1755924118</v>
      </c>
      <c r="T105" s="24">
        <f t="shared" si="330"/>
        <v>5222233.2287211334</v>
      </c>
      <c r="U105" s="24">
        <f t="shared" si="330"/>
        <v>7810504.383934794</v>
      </c>
    </row>
    <row r="106" spans="3:21" ht="16" x14ac:dyDescent="0.2">
      <c r="D106" s="86"/>
      <c r="E106" s="86" t="s">
        <v>63</v>
      </c>
      <c r="F106" s="86"/>
      <c r="G106" s="99">
        <f t="shared" ref="G106:P106" si="331">1/((1+$F$93)^G104)</f>
        <v>0.92860586104205778</v>
      </c>
      <c r="H106" s="99">
        <f t="shared" si="331"/>
        <v>0.86230884516166173</v>
      </c>
      <c r="I106" s="99">
        <f t="shared" si="331"/>
        <v>0.80074504764552734</v>
      </c>
      <c r="J106" s="99">
        <f t="shared" si="331"/>
        <v>0.74357654444403865</v>
      </c>
      <c r="K106" s="99">
        <f t="shared" si="331"/>
        <v>0.69048953730413443</v>
      </c>
      <c r="L106" s="99">
        <f t="shared" si="331"/>
        <v>0.64119263132883797</v>
      </c>
      <c r="M106" s="99">
        <f t="shared" si="331"/>
        <v>0.59541523550893827</v>
      </c>
      <c r="N106" s="99">
        <f t="shared" si="331"/>
        <v>0.55290607744733733</v>
      </c>
      <c r="O106" s="99">
        <f t="shared" si="331"/>
        <v>0.51343182412337141</v>
      </c>
      <c r="P106" s="99">
        <f t="shared" si="331"/>
        <v>0.47677580112647783</v>
      </c>
      <c r="Q106" s="99">
        <f t="shared" ref="Q106:U106" si="332">1/((1+$F$93)^Q104)</f>
        <v>0.44273680332906978</v>
      </c>
      <c r="R106" s="99">
        <f t="shared" si="332"/>
        <v>0.41112799047039911</v>
      </c>
      <c r="S106" s="99">
        <f t="shared" si="332"/>
        <v>0.38177586158925592</v>
      </c>
      <c r="T106" s="99">
        <f t="shared" si="332"/>
        <v>0.35451930267616455</v>
      </c>
      <c r="U106" s="99">
        <f t="shared" si="332"/>
        <v>0.32920870231762966</v>
      </c>
    </row>
    <row r="107" spans="3:21" ht="16" x14ac:dyDescent="0.2">
      <c r="D107" s="86"/>
      <c r="E107" s="25" t="s">
        <v>64</v>
      </c>
      <c r="F107" s="25"/>
      <c r="G107" s="26">
        <f>G106*G105</f>
        <v>2651.7697494079748</v>
      </c>
      <c r="H107" s="26">
        <f t="shared" ref="H107:P107" si="333">H106*H105</f>
        <v>17137.724689137609</v>
      </c>
      <c r="I107" s="26">
        <f t="shared" si="333"/>
        <v>27733.964674376835</v>
      </c>
      <c r="J107" s="26">
        <f t="shared" si="333"/>
        <v>43478.987507212987</v>
      </c>
      <c r="K107" s="26">
        <f t="shared" si="333"/>
        <v>66633.586166864072</v>
      </c>
      <c r="L107" s="26">
        <f t="shared" si="333"/>
        <v>100381.60467552257</v>
      </c>
      <c r="M107" s="26">
        <f t="shared" si="333"/>
        <v>149180.26636065767</v>
      </c>
      <c r="N107" s="26">
        <f t="shared" si="333"/>
        <v>219230.0117036443</v>
      </c>
      <c r="O107" s="26">
        <f t="shared" si="333"/>
        <v>319096.20166198531</v>
      </c>
      <c r="P107" s="26">
        <f t="shared" si="333"/>
        <v>460517.56093184592</v>
      </c>
      <c r="Q107" s="26">
        <f t="shared" ref="Q107:U107" si="334">Q106*Q105</f>
        <v>659432.99371715426</v>
      </c>
      <c r="R107" s="26">
        <f t="shared" si="334"/>
        <v>937242.76879803452</v>
      </c>
      <c r="S107" s="26">
        <f t="shared" si="334"/>
        <v>1322280.0000996089</v>
      </c>
      <c r="T107" s="26">
        <f t="shared" si="334"/>
        <v>1851382.4826585115</v>
      </c>
      <c r="U107" s="26">
        <f t="shared" si="334"/>
        <v>2571286.012681331</v>
      </c>
    </row>
    <row r="108" spans="3:21" ht="16" x14ac:dyDescent="0.2">
      <c r="D108" s="86">
        <f>D97</f>
        <v>2030</v>
      </c>
      <c r="E108" s="86" t="str">
        <f>"NPV of Cash Flows up to " &amp; D108</f>
        <v>NPV of Cash Flows up to 2030</v>
      </c>
      <c r="F108" s="86"/>
      <c r="G108" s="93">
        <f>SUMIFS(G107:U107,G103:U103, "&lt;="&amp;D108)</f>
        <v>1406041.6781206555</v>
      </c>
      <c r="H108" s="86"/>
      <c r="I108" s="86"/>
      <c r="J108" s="86"/>
      <c r="K108" s="86"/>
      <c r="L108" s="86"/>
      <c r="M108" s="86"/>
      <c r="N108" s="86"/>
      <c r="O108" s="86"/>
      <c r="P108" s="86"/>
    </row>
    <row r="109" spans="3:21" ht="16" x14ac:dyDescent="0.2">
      <c r="D109" s="86"/>
      <c r="E109" s="4" t="s">
        <v>58</v>
      </c>
      <c r="F109" s="86"/>
      <c r="G109" s="93">
        <f>F99</f>
        <v>19048242.061249498</v>
      </c>
      <c r="H109" s="86"/>
      <c r="I109" s="86"/>
      <c r="J109" s="86"/>
      <c r="K109" s="86"/>
      <c r="L109" s="86"/>
      <c r="M109" s="86"/>
      <c r="N109" s="86"/>
      <c r="O109" s="86"/>
      <c r="P109" s="86"/>
    </row>
    <row r="110" spans="3:21" ht="16" x14ac:dyDescent="0.2">
      <c r="D110" s="86"/>
      <c r="E110" s="4" t="s">
        <v>63</v>
      </c>
      <c r="F110" s="86"/>
      <c r="G110" s="99">
        <f>P106</f>
        <v>0.47677580112647783</v>
      </c>
      <c r="H110" s="86"/>
      <c r="I110" s="86"/>
      <c r="J110" s="86"/>
      <c r="K110" s="86"/>
      <c r="L110" s="86"/>
      <c r="M110" s="86"/>
      <c r="N110" s="86"/>
      <c r="O110" s="86"/>
      <c r="P110" s="86"/>
    </row>
    <row r="111" spans="3:21" ht="16" x14ac:dyDescent="0.2">
      <c r="D111" s="86"/>
      <c r="E111" s="4" t="s">
        <v>65</v>
      </c>
      <c r="F111" s="86"/>
      <c r="G111" s="93">
        <f>G110*G109</f>
        <v>9081740.8688033</v>
      </c>
      <c r="H111" s="86"/>
      <c r="I111" s="86"/>
      <c r="J111" s="86"/>
      <c r="K111" s="86"/>
      <c r="L111" s="86"/>
      <c r="M111" s="86"/>
      <c r="N111" s="86"/>
      <c r="O111" s="86"/>
      <c r="P111" s="86"/>
    </row>
    <row r="112" spans="3:21" ht="16" x14ac:dyDescent="0.2">
      <c r="D112" s="86"/>
      <c r="E112" s="86"/>
      <c r="F112" s="86"/>
      <c r="G112" s="86"/>
      <c r="H112" s="86"/>
      <c r="I112" s="86"/>
      <c r="J112" s="86"/>
      <c r="K112" s="86"/>
      <c r="L112" s="86"/>
      <c r="M112" s="86"/>
      <c r="N112" s="86"/>
      <c r="O112" s="86"/>
      <c r="P112" s="86"/>
    </row>
    <row r="113" spans="5:8" x14ac:dyDescent="0.2">
      <c r="E113" s="1" t="s">
        <v>66</v>
      </c>
      <c r="F113" s="1"/>
      <c r="G113" s="14">
        <f>SUM(G111,G108)</f>
        <v>10487782.546923956</v>
      </c>
    </row>
    <row r="115" spans="5:8" ht="19" x14ac:dyDescent="0.25">
      <c r="E115" s="7" t="s">
        <v>67</v>
      </c>
    </row>
    <row r="117" spans="5:8" ht="16" x14ac:dyDescent="0.2">
      <c r="E117" s="86" t="s">
        <v>68</v>
      </c>
      <c r="F117" s="86"/>
      <c r="G117" s="93">
        <f>F81</f>
        <v>10843</v>
      </c>
      <c r="H117" s="86"/>
    </row>
    <row r="118" spans="5:8" ht="16" x14ac:dyDescent="0.2">
      <c r="E118" s="86" t="s">
        <v>69</v>
      </c>
      <c r="F118" s="86"/>
      <c r="G118" s="15">
        <v>17576</v>
      </c>
      <c r="H118" s="86"/>
    </row>
    <row r="119" spans="5:8" ht="16" x14ac:dyDescent="0.2">
      <c r="E119" s="86"/>
      <c r="F119" s="86"/>
      <c r="G119" s="86"/>
      <c r="H119" s="86"/>
    </row>
    <row r="120" spans="5:8" ht="16" x14ac:dyDescent="0.2">
      <c r="E120" s="16" t="str">
        <f>"Assumed " &amp; E80</f>
        <v>Assumed Equity Value</v>
      </c>
      <c r="F120" s="16"/>
      <c r="G120" s="17">
        <f>SUM(G113,G117:G118)</f>
        <v>10516201.546923956</v>
      </c>
      <c r="H120" s="86"/>
    </row>
    <row r="121" spans="5:8" ht="16" x14ac:dyDescent="0.2">
      <c r="E121" s="86"/>
      <c r="F121" s="86"/>
      <c r="G121" s="86"/>
      <c r="H121" s="86"/>
    </row>
    <row r="122" spans="5:8" ht="16" x14ac:dyDescent="0.2">
      <c r="E122" t="str">
        <f>IF(F32=A35, "Current Shares Outstanding", "Total Number of Tokens")</f>
        <v>Current Shares Outstanding</v>
      </c>
      <c r="F122" s="86"/>
      <c r="G122" s="85">
        <f>IF(F35=A29,I24/B29,IF(F35=A30,I24/B30,I24/B31))</f>
        <v>1036.01</v>
      </c>
      <c r="H122" s="86"/>
    </row>
    <row r="123" spans="5:8" ht="16" x14ac:dyDescent="0.2">
      <c r="E123" s="86"/>
      <c r="F123" s="86"/>
      <c r="G123" s="86"/>
      <c r="H123" s="86"/>
    </row>
    <row r="124" spans="5:8" ht="16" x14ac:dyDescent="0.2">
      <c r="E124" s="16" t="str">
        <f>IF(F32=A35, "Implied Share Price in " &amp; D108, "Implied Coin Price in " &amp; D108)</f>
        <v>Implied Share Price in 2030</v>
      </c>
      <c r="F124" s="16"/>
      <c r="G124" s="18">
        <f>G120/G122</f>
        <v>10150.67571444673</v>
      </c>
      <c r="H124" s="86"/>
    </row>
    <row r="125" spans="5:8" ht="16" x14ac:dyDescent="0.2">
      <c r="E125" s="86"/>
      <c r="F125" s="86"/>
      <c r="G125" s="86"/>
      <c r="H125" s="86"/>
    </row>
    <row r="126" spans="5:8" ht="16" x14ac:dyDescent="0.2">
      <c r="E126" s="86" t="str">
        <f>IF(F32=A35,"Current Share Price", "Current Price of Coin")</f>
        <v>Current Share Price</v>
      </c>
      <c r="F126" s="86"/>
      <c r="G126" s="100" cm="1">
        <f t="array" ref="G126">_FV(F33,"Price")</f>
        <v>658.8</v>
      </c>
      <c r="H126" s="86"/>
    </row>
    <row r="127" spans="5:8" ht="17" thickBot="1" x14ac:dyDescent="0.25">
      <c r="E127" s="86"/>
      <c r="F127" s="86"/>
      <c r="G127" s="86"/>
      <c r="H127" s="86"/>
    </row>
    <row r="128" spans="5:8" ht="16" x14ac:dyDescent="0.2">
      <c r="E128" s="19" t="s">
        <v>70</v>
      </c>
      <c r="F128" s="101"/>
      <c r="G128" s="102">
        <f>G124/G126</f>
        <v>15.407825917496556</v>
      </c>
      <c r="H128" s="86"/>
    </row>
    <row r="129" spans="5:8" ht="17" thickBot="1" x14ac:dyDescent="0.25">
      <c r="E129" s="20" t="str">
        <f>IF(G129&gt;1," Undervalued by"," Overvalued by")</f>
        <v xml:space="preserve"> Undervalued by</v>
      </c>
      <c r="F129" s="103"/>
      <c r="G129" s="21">
        <f>G124/G126</f>
        <v>15.407825917496556</v>
      </c>
      <c r="H129" s="86"/>
    </row>
    <row r="130" spans="5:8" ht="16" x14ac:dyDescent="0.2">
      <c r="E130" s="86"/>
      <c r="F130" s="86"/>
      <c r="G130" s="86"/>
      <c r="H130" s="86"/>
    </row>
    <row r="131" spans="5:8" ht="16" x14ac:dyDescent="0.2">
      <c r="E131" s="86"/>
      <c r="F131" s="86"/>
      <c r="G131" s="86"/>
      <c r="H131" s="86"/>
    </row>
    <row r="132" spans="5:8" ht="16" x14ac:dyDescent="0.2">
      <c r="E132" s="86"/>
      <c r="F132" s="86"/>
      <c r="G132" s="86"/>
      <c r="H132" s="86"/>
    </row>
  </sheetData>
  <mergeCells count="1">
    <mergeCell ref="H18:I18"/>
  </mergeCells>
  <conditionalFormatting sqref="G30:Y30 G29:J29 L29:Y29">
    <cfRule type="containsText" dxfId="5" priority="5" operator="containsText" text="P">
      <formula>NOT(ISERROR(SEARCH("P",G29)))</formula>
    </cfRule>
    <cfRule type="containsText" dxfId="4" priority="6" operator="containsText" text="H">
      <formula>NOT(ISERROR(SEARCH("H",G29)))</formula>
    </cfRule>
  </conditionalFormatting>
  <conditionalFormatting sqref="G102:U102">
    <cfRule type="containsText" dxfId="3" priority="1" operator="containsText" text="P">
      <formula>NOT(ISERROR(SEARCH("P",G102)))</formula>
    </cfRule>
    <cfRule type="containsText" dxfId="2" priority="2" operator="containsText" text="H">
      <formula>NOT(ISERROR(SEARCH("H",G102)))</formula>
    </cfRule>
  </conditionalFormatting>
  <dataValidations count="1">
    <dataValidation type="list" allowBlank="1" showInputMessage="1" showErrorMessage="1" sqref="F32" xr:uid="{0999A95D-95E7-D744-B729-F61933D04359}">
      <formula1>$A$35:$A$38</formula1>
    </dataValidation>
  </dataValidations>
  <hyperlinks>
    <hyperlink ref="C22" r:id="rId1" xr:uid="{C0255CBE-9E09-9343-97FC-2BF94CF3B780}"/>
    <hyperlink ref="C23" r:id="rId2" xr:uid="{2B9F99FD-F247-8C45-B305-3CEA2E9D6291}"/>
    <hyperlink ref="C24" r:id="rId3" xr:uid="{1C573666-FC1D-EE4C-86ED-B2DA82A0EDD5}"/>
  </hyperlinks>
  <pageMargins left="0.7" right="0.7" top="0.75" bottom="0.75" header="0.3" footer="0.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E3914-1338-C649-B0F5-CDBB9678C4F3}">
  <dimension ref="C4:V24"/>
  <sheetViews>
    <sheetView zoomScale="96" workbookViewId="0">
      <selection activeCell="L58" sqref="L58"/>
    </sheetView>
  </sheetViews>
  <sheetFormatPr baseColWidth="10" defaultColWidth="11.5" defaultRowHeight="15" outlineLevelCol="1" x14ac:dyDescent="0.2"/>
  <cols>
    <col min="3" max="3" width="54.6640625" bestFit="1" customWidth="1"/>
    <col min="4" max="4" width="23.6640625" hidden="1" customWidth="1" outlineLevel="1"/>
    <col min="5" max="5" width="6.6640625" bestFit="1" customWidth="1" collapsed="1"/>
    <col min="6" max="6" width="12.33203125" bestFit="1" customWidth="1"/>
    <col min="7" max="13" width="12.83203125" bestFit="1" customWidth="1"/>
    <col min="14" max="20" width="13.6640625" bestFit="1" customWidth="1"/>
    <col min="21" max="22" width="14.1640625" bestFit="1" customWidth="1"/>
  </cols>
  <sheetData>
    <row r="4" spans="3:22" ht="19" x14ac:dyDescent="0.25">
      <c r="C4" s="60"/>
      <c r="D4" s="60"/>
      <c r="E4" s="60"/>
      <c r="F4" s="60"/>
      <c r="G4" s="60"/>
      <c r="H4" s="60"/>
      <c r="I4" s="60"/>
      <c r="J4" s="60"/>
      <c r="K4" s="60"/>
      <c r="L4" s="60"/>
      <c r="M4" s="60"/>
      <c r="N4" s="60"/>
      <c r="O4" s="60"/>
      <c r="P4" s="60"/>
      <c r="Q4" s="60"/>
      <c r="R4" s="60"/>
      <c r="S4" s="60"/>
      <c r="T4" s="60"/>
      <c r="U4" s="60"/>
      <c r="V4" s="60"/>
    </row>
    <row r="5" spans="3:22" ht="19" x14ac:dyDescent="0.25">
      <c r="C5" s="60"/>
      <c r="D5" s="60"/>
      <c r="E5" s="60"/>
      <c r="F5" s="60"/>
      <c r="G5" s="60"/>
      <c r="H5" s="60"/>
      <c r="I5" s="60"/>
      <c r="J5" s="60"/>
      <c r="K5" s="60"/>
      <c r="L5" s="60"/>
      <c r="M5" s="60"/>
      <c r="N5" s="60"/>
      <c r="O5" s="60"/>
      <c r="P5" s="60"/>
      <c r="Q5" s="60"/>
      <c r="R5" s="60"/>
      <c r="S5" s="60"/>
      <c r="T5" s="60"/>
      <c r="U5" s="60"/>
      <c r="V5" s="60"/>
    </row>
    <row r="6" spans="3:22" ht="19" x14ac:dyDescent="0.25">
      <c r="C6" s="60"/>
      <c r="D6" s="60"/>
      <c r="E6" s="60"/>
      <c r="F6" s="60"/>
      <c r="G6" s="60"/>
      <c r="H6" s="60"/>
      <c r="I6" s="60"/>
      <c r="J6" s="60"/>
      <c r="K6" s="60"/>
      <c r="L6" s="60"/>
      <c r="M6" s="60"/>
      <c r="N6" s="60"/>
      <c r="O6" s="60"/>
      <c r="P6" s="60"/>
      <c r="Q6" s="60"/>
      <c r="R6" s="60"/>
      <c r="S6" s="60"/>
      <c r="T6" s="60"/>
      <c r="U6" s="60"/>
      <c r="V6" s="60"/>
    </row>
    <row r="7" spans="3:22" ht="19" x14ac:dyDescent="0.25">
      <c r="C7" s="61"/>
      <c r="D7" s="62"/>
      <c r="E7" s="63" t="str">
        <f ca="1">'DCF Analysis'!G29</f>
        <v>H</v>
      </c>
      <c r="F7" s="63" t="str">
        <f ca="1">'DCF Analysis'!H29</f>
        <v>H</v>
      </c>
      <c r="G7" s="63" t="str">
        <f ca="1">'DCF Analysis'!I29</f>
        <v>H</v>
      </c>
      <c r="H7" s="63" t="str">
        <f ca="1">'DCF Analysis'!J29</f>
        <v>H</v>
      </c>
      <c r="I7" s="63" t="str">
        <f ca="1">'DCF Analysis'!L29</f>
        <v>P</v>
      </c>
      <c r="J7" s="63" t="str">
        <f ca="1">'DCF Analysis'!M29</f>
        <v>P</v>
      </c>
      <c r="K7" s="63" t="str">
        <f ca="1">'DCF Analysis'!N29</f>
        <v>P</v>
      </c>
      <c r="L7" s="63" t="str">
        <f ca="1">'DCF Analysis'!O29</f>
        <v>P</v>
      </c>
      <c r="M7" s="63" t="str">
        <f ca="1">'DCF Analysis'!P29</f>
        <v>P</v>
      </c>
      <c r="N7" s="63" t="str">
        <f ca="1">'DCF Analysis'!Q29</f>
        <v>P</v>
      </c>
      <c r="O7" s="63" t="str">
        <f ca="1">'DCF Analysis'!R29</f>
        <v>P</v>
      </c>
      <c r="P7" s="63" t="str">
        <f ca="1">'DCF Analysis'!S29</f>
        <v>P</v>
      </c>
      <c r="Q7" s="63" t="str">
        <f ca="1">'DCF Analysis'!T29</f>
        <v>P</v>
      </c>
      <c r="R7" s="63" t="str">
        <f ca="1">'DCF Analysis'!U29</f>
        <v>P</v>
      </c>
      <c r="S7" s="63" t="str">
        <f ca="1">'DCF Analysis'!V29</f>
        <v>P</v>
      </c>
      <c r="T7" s="63" t="str">
        <f ca="1">'DCF Analysis'!W29</f>
        <v>P</v>
      </c>
      <c r="U7" s="63" t="str">
        <f ca="1">'DCF Analysis'!X29</f>
        <v>P</v>
      </c>
      <c r="V7" s="63" t="str">
        <f ca="1">'DCF Analysis'!Y29</f>
        <v>P</v>
      </c>
    </row>
    <row r="8" spans="3:22" ht="19" x14ac:dyDescent="0.25">
      <c r="C8" s="61"/>
      <c r="D8" s="63"/>
      <c r="E8" s="63">
        <f>'DCF Analysis'!G30</f>
        <v>2018</v>
      </c>
      <c r="F8" s="63">
        <f>'DCF Analysis'!H30</f>
        <v>2019</v>
      </c>
      <c r="G8" s="63">
        <f>'DCF Analysis'!I30</f>
        <v>2020</v>
      </c>
      <c r="H8" s="63">
        <f>'DCF Analysis'!J30</f>
        <v>2021</v>
      </c>
      <c r="I8" s="63">
        <f>'DCF Analysis'!L30</f>
        <v>2022</v>
      </c>
      <c r="J8" s="63">
        <f>'DCF Analysis'!M30</f>
        <v>2023</v>
      </c>
      <c r="K8" s="63">
        <f>'DCF Analysis'!N30</f>
        <v>2024</v>
      </c>
      <c r="L8" s="63">
        <f>'DCF Analysis'!O30</f>
        <v>2025</v>
      </c>
      <c r="M8" s="63">
        <f>'DCF Analysis'!P30</f>
        <v>2026</v>
      </c>
      <c r="N8" s="63">
        <f>'DCF Analysis'!Q30</f>
        <v>2027</v>
      </c>
      <c r="O8" s="63">
        <f>'DCF Analysis'!R30</f>
        <v>2028</v>
      </c>
      <c r="P8" s="63">
        <f>'DCF Analysis'!S30</f>
        <v>2029</v>
      </c>
      <c r="Q8" s="63">
        <f>'DCF Analysis'!T30</f>
        <v>2030</v>
      </c>
      <c r="R8" s="63">
        <f>'DCF Analysis'!U30</f>
        <v>2031</v>
      </c>
      <c r="S8" s="63">
        <f>'DCF Analysis'!V30</f>
        <v>2032</v>
      </c>
      <c r="T8" s="63">
        <f>'DCF Analysis'!W30</f>
        <v>2033</v>
      </c>
      <c r="U8" s="63">
        <f>'DCF Analysis'!X30</f>
        <v>2034</v>
      </c>
      <c r="V8" s="63">
        <f>'DCF Analysis'!Y30</f>
        <v>2035</v>
      </c>
    </row>
    <row r="9" spans="3:22" ht="19" x14ac:dyDescent="0.25">
      <c r="C9" s="61"/>
      <c r="D9" s="64"/>
      <c r="E9" s="60"/>
      <c r="F9" s="60"/>
      <c r="G9" s="60"/>
      <c r="H9" s="60"/>
      <c r="I9" s="60"/>
      <c r="J9" s="60"/>
      <c r="K9" s="60"/>
      <c r="L9" s="60"/>
      <c r="M9" s="60"/>
      <c r="N9" s="60"/>
      <c r="O9" s="60"/>
      <c r="P9" s="60"/>
      <c r="Q9" s="60"/>
      <c r="R9" s="60"/>
      <c r="S9" s="60"/>
      <c r="T9" s="60"/>
      <c r="U9" s="60"/>
      <c r="V9" s="60"/>
    </row>
    <row r="10" spans="3:22" ht="19" x14ac:dyDescent="0.25">
      <c r="C10" s="61"/>
      <c r="D10" s="65"/>
      <c r="E10" s="60"/>
      <c r="F10" s="60"/>
      <c r="G10" s="60"/>
      <c r="H10" s="60"/>
      <c r="I10" s="60"/>
      <c r="J10" s="60"/>
      <c r="K10" s="60"/>
      <c r="L10" s="60"/>
      <c r="M10" s="60"/>
      <c r="N10" s="60"/>
      <c r="O10" s="60"/>
      <c r="P10" s="60"/>
      <c r="Q10" s="60"/>
      <c r="R10" s="60"/>
      <c r="S10" s="60"/>
      <c r="T10" s="60"/>
      <c r="U10" s="60"/>
      <c r="V10" s="60"/>
    </row>
    <row r="11" spans="3:22" ht="19" x14ac:dyDescent="0.25">
      <c r="C11" s="68" t="s">
        <v>71</v>
      </c>
      <c r="D11" s="60"/>
      <c r="E11" s="60"/>
      <c r="F11" s="60"/>
      <c r="G11" s="60"/>
      <c r="H11" s="60"/>
      <c r="I11" s="60"/>
      <c r="J11" s="60"/>
      <c r="K11" s="60"/>
      <c r="L11" s="60"/>
      <c r="M11" s="60"/>
      <c r="N11" s="60"/>
      <c r="O11" s="60"/>
      <c r="P11" s="60"/>
      <c r="Q11" s="60"/>
      <c r="R11" s="60"/>
      <c r="S11" s="60"/>
      <c r="T11" s="60"/>
      <c r="U11" s="60"/>
      <c r="V11" s="60"/>
    </row>
    <row r="12" spans="3:22" ht="19" x14ac:dyDescent="0.25">
      <c r="C12" s="66" t="str">
        <f>'DCF Analysis'!E36</f>
        <v>Revenue (Gross)</v>
      </c>
      <c r="D12" s="67">
        <f>'DCF Analysis'!F36</f>
        <v>0</v>
      </c>
      <c r="E12" s="67">
        <f>'DCF Analysis'!G36</f>
        <v>0</v>
      </c>
      <c r="F12" s="67">
        <f>'DCF Analysis'!H36</f>
        <v>24578</v>
      </c>
      <c r="G12" s="67">
        <f>'DCF Analysis'!I36</f>
        <v>31536</v>
      </c>
      <c r="H12" s="67">
        <f>'DCF Analysis'!J36</f>
        <v>53823</v>
      </c>
      <c r="I12" s="67">
        <f>'DCF Analysis'!L36</f>
        <v>80460.402069408781</v>
      </c>
      <c r="J12" s="67">
        <f>'DCF Analysis'!M36</f>
        <v>120280.85207385173</v>
      </c>
      <c r="K12" s="67">
        <f>'DCF Analysis'!N36</f>
        <v>179808.73825526616</v>
      </c>
      <c r="L12" s="67">
        <f>'DCF Analysis'!O36</f>
        <v>268797.41700781824</v>
      </c>
      <c r="M12" s="67">
        <f>'DCF Analysis'!P36</f>
        <v>401827.25317554938</v>
      </c>
      <c r="N12" s="67">
        <f>'DCF Analysis'!Q36</f>
        <v>600694.54235086893</v>
      </c>
      <c r="O12" s="67">
        <f>'DCF Analysis'!R36</f>
        <v>897982.72854449612</v>
      </c>
      <c r="P12" s="67">
        <f>'DCF Analysis'!S36</f>
        <v>1342401.0439788736</v>
      </c>
      <c r="Q12" s="67">
        <f>'DCF Analysis'!T36</f>
        <v>2006765.2813283221</v>
      </c>
      <c r="R12" s="67">
        <f>'DCF Analysis'!U36</f>
        <v>2999928.3093585833</v>
      </c>
      <c r="S12" s="67">
        <f>'DCF Analysis'!V36</f>
        <v>4484615.08928141</v>
      </c>
      <c r="T12" s="67">
        <f>'DCF Analysis'!W36</f>
        <v>6704084.3730397755</v>
      </c>
      <c r="U12" s="67">
        <f>'DCF Analysis'!X36</f>
        <v>10021985.473905591</v>
      </c>
      <c r="V12" s="67">
        <f>'DCF Analysis'!Y36</f>
        <v>14981940.448585516</v>
      </c>
    </row>
    <row r="13" spans="3:22" ht="19" x14ac:dyDescent="0.25">
      <c r="C13" s="66" t="str">
        <f>'DCF Analysis'!E39</f>
        <v>COGs</v>
      </c>
      <c r="D13" s="67">
        <f>'DCF Analysis'!F39</f>
        <v>0</v>
      </c>
      <c r="E13" s="67">
        <f>'DCF Analysis'!G39</f>
        <v>0</v>
      </c>
      <c r="F13" s="67">
        <f>'DCF Analysis'!H39</f>
        <v>20509</v>
      </c>
      <c r="G13" s="67">
        <f>'DCF Analysis'!I39</f>
        <v>24906</v>
      </c>
      <c r="H13" s="67">
        <f>'DCF Analysis'!J39</f>
        <v>40217</v>
      </c>
      <c r="I13" s="67">
        <f>'DCF Analysis'!L39</f>
        <v>56889.865175044615</v>
      </c>
      <c r="J13" s="67">
        <f>'DCF Analysis'!M39</f>
        <v>80474.842967768709</v>
      </c>
      <c r="K13" s="67">
        <f>'DCF Analysis'!N39</f>
        <v>113837.50569210158</v>
      </c>
      <c r="L13" s="67">
        <f>'DCF Analysis'!O39</f>
        <v>161031.41334975339</v>
      </c>
      <c r="M13" s="67">
        <f>'DCF Analysis'!P39</f>
        <v>227790.62074282891</v>
      </c>
      <c r="N13" s="67">
        <f>'DCF Analysis'!Q39</f>
        <v>322226.3645274202</v>
      </c>
      <c r="O13" s="67">
        <f>'DCF Analysis'!R39</f>
        <v>455812.57761169935</v>
      </c>
      <c r="P13" s="67">
        <f>'DCF Analysis'!S39</f>
        <v>644779.97079392138</v>
      </c>
      <c r="Q13" s="67">
        <f>'DCF Analysis'!T39</f>
        <v>912088.06241229805</v>
      </c>
      <c r="R13" s="67">
        <f>'DCF Analysis'!U39</f>
        <v>1290214.7574011814</v>
      </c>
      <c r="S13" s="67">
        <f>'DCF Analysis'!V39</f>
        <v>1825102.4093146208</v>
      </c>
      <c r="T13" s="67">
        <f>'DCF Analysis'!W39</f>
        <v>2581739.8114369013</v>
      </c>
      <c r="U13" s="67">
        <f>'DCF Analysis'!X39</f>
        <v>3652058.3283111723</v>
      </c>
      <c r="V13" s="67">
        <f>'DCF Analysis'!Y39</f>
        <v>5166101.5468339613</v>
      </c>
    </row>
    <row r="14" spans="3:22" ht="19" x14ac:dyDescent="0.25">
      <c r="C14" s="66" t="str">
        <f>'DCF Analysis'!E41</f>
        <v>R&amp;D</v>
      </c>
      <c r="D14" s="67">
        <f>'DCF Analysis'!F41</f>
        <v>0</v>
      </c>
      <c r="E14" s="67">
        <f>'DCF Analysis'!G41</f>
        <v>0</v>
      </c>
      <c r="F14" s="67">
        <f>'DCF Analysis'!H41</f>
        <v>1343</v>
      </c>
      <c r="G14" s="67">
        <f>'DCF Analysis'!I41</f>
        <v>1491</v>
      </c>
      <c r="H14" s="67">
        <f>'DCF Analysis'!J41</f>
        <v>2593</v>
      </c>
      <c r="I14" s="67">
        <f>'DCF Analysis'!L41</f>
        <v>3694.1204536726441</v>
      </c>
      <c r="J14" s="67">
        <f>'DCF Analysis'!M41</f>
        <v>5262.8329835104441</v>
      </c>
      <c r="K14" s="67">
        <f>'DCF Analysis'!N41</f>
        <v>7497.7011063050359</v>
      </c>
      <c r="L14" s="67">
        <f>'DCF Analysis'!O41</f>
        <v>10681.608566265117</v>
      </c>
      <c r="M14" s="67">
        <f>'DCF Analysis'!P41</f>
        <v>15217.566017263747</v>
      </c>
      <c r="N14" s="67">
        <f>'DCF Analysis'!Q41</f>
        <v>21679.723054179623</v>
      </c>
      <c r="O14" s="67">
        <f>'DCF Analysis'!R41</f>
        <v>30886.042562438608</v>
      </c>
      <c r="P14" s="67">
        <f>'DCF Analysis'!S41</f>
        <v>44001.83631427239</v>
      </c>
      <c r="Q14" s="67">
        <f>'DCF Analysis'!T41</f>
        <v>62687.267075861688</v>
      </c>
      <c r="R14" s="67">
        <f>'DCF Analysis'!U41</f>
        <v>89307.487655140911</v>
      </c>
      <c r="S14" s="67">
        <f>'DCF Analysis'!V41</f>
        <v>127232.01573967343</v>
      </c>
      <c r="T14" s="67">
        <f>'DCF Analysis'!W41</f>
        <v>181261.23860621959</v>
      </c>
      <c r="U14" s="67">
        <f>'DCF Analysis'!X41</f>
        <v>258234.03354927624</v>
      </c>
      <c r="V14" s="67">
        <f>'DCF Analysis'!Y41</f>
        <v>367893.41502844932</v>
      </c>
    </row>
    <row r="15" spans="3:22" ht="19" x14ac:dyDescent="0.25">
      <c r="C15" s="66" t="str">
        <f>'DCF Analysis'!E43</f>
        <v>SG&amp;A</v>
      </c>
      <c r="D15" s="67">
        <f>'DCF Analysis'!F43</f>
        <v>0</v>
      </c>
      <c r="E15" s="67">
        <f>'DCF Analysis'!G43</f>
        <v>0</v>
      </c>
      <c r="F15" s="67">
        <f>'DCF Analysis'!H43</f>
        <v>2646</v>
      </c>
      <c r="G15" s="67">
        <f>'DCF Analysis'!I43</f>
        <v>3145</v>
      </c>
      <c r="H15" s="67">
        <f>'DCF Analysis'!J43</f>
        <v>4517</v>
      </c>
      <c r="I15" s="67">
        <f>'DCF Analysis'!L43</f>
        <v>5928.1888502548163</v>
      </c>
      <c r="J15" s="67">
        <f>'DCF Analysis'!M43</f>
        <v>7780.2574815774897</v>
      </c>
      <c r="K15" s="67">
        <f>'DCF Analysis'!N43</f>
        <v>10210.944355634114</v>
      </c>
      <c r="L15" s="67">
        <f>'DCF Analysis'!O43</f>
        <v>13401.019809529003</v>
      </c>
      <c r="M15" s="67">
        <f>'DCF Analysis'!P43</f>
        <v>17587.729957249005</v>
      </c>
      <c r="N15" s="67">
        <f>'DCF Analysis'!Q43</f>
        <v>23082.440698219209</v>
      </c>
      <c r="O15" s="67">
        <f>'DCF Analysis'!R43</f>
        <v>30293.794019006225</v>
      </c>
      <c r="P15" s="67">
        <f>'DCF Analysis'!S43</f>
        <v>39758.098723796495</v>
      </c>
      <c r="Q15" s="67">
        <f>'DCF Analysis'!T43</f>
        <v>52179.215754204255</v>
      </c>
      <c r="R15" s="67">
        <f>'DCF Analysis'!U43</f>
        <v>68480.904372174919</v>
      </c>
      <c r="S15" s="67">
        <f>'DCF Analysis'!V43</f>
        <v>89875.522194928853</v>
      </c>
      <c r="T15" s="67">
        <f>'DCF Analysis'!W43</f>
        <v>117954.18830790491</v>
      </c>
      <c r="U15" s="67">
        <f>'DCF Analysis'!X43</f>
        <v>154805.11489213613</v>
      </c>
      <c r="V15" s="67">
        <f>'DCF Analysis'!Y43</f>
        <v>203168.90769669632</v>
      </c>
    </row>
    <row r="16" spans="3:22" ht="19" x14ac:dyDescent="0.25">
      <c r="C16" s="60"/>
      <c r="D16" s="67"/>
      <c r="E16" s="67"/>
      <c r="F16" s="67"/>
      <c r="G16" s="67"/>
      <c r="H16" s="67"/>
      <c r="I16" s="67"/>
      <c r="J16" s="67"/>
      <c r="K16" s="67"/>
      <c r="L16" s="67"/>
      <c r="M16" s="67"/>
      <c r="N16" s="67"/>
      <c r="O16" s="67"/>
      <c r="P16" s="67"/>
      <c r="Q16" s="67"/>
      <c r="R16" s="67"/>
      <c r="S16" s="67"/>
      <c r="T16" s="67"/>
      <c r="U16" s="67"/>
      <c r="V16" s="67"/>
    </row>
    <row r="17" spans="3:22" ht="19" x14ac:dyDescent="0.25">
      <c r="C17" s="68" t="s">
        <v>72</v>
      </c>
      <c r="D17" s="67"/>
      <c r="E17" s="67"/>
      <c r="F17" s="67"/>
      <c r="G17" s="67"/>
      <c r="H17" s="67"/>
      <c r="I17" s="67"/>
      <c r="J17" s="67"/>
      <c r="K17" s="67"/>
      <c r="L17" s="67"/>
      <c r="M17" s="67"/>
      <c r="N17" s="67"/>
      <c r="O17" s="67"/>
      <c r="P17" s="67"/>
      <c r="Q17" s="67"/>
      <c r="R17" s="67"/>
      <c r="S17" s="67"/>
      <c r="T17" s="67"/>
      <c r="U17" s="67"/>
      <c r="V17" s="67"/>
    </row>
    <row r="18" spans="3:22" ht="19" x14ac:dyDescent="0.25">
      <c r="C18" s="66" t="str">
        <f>C12</f>
        <v>Revenue (Gross)</v>
      </c>
      <c r="D18" s="67">
        <f t="shared" ref="D18:V18" si="0">D12</f>
        <v>0</v>
      </c>
      <c r="E18" s="67">
        <f t="shared" si="0"/>
        <v>0</v>
      </c>
      <c r="F18" s="67">
        <f t="shared" si="0"/>
        <v>24578</v>
      </c>
      <c r="G18" s="67">
        <f t="shared" si="0"/>
        <v>31536</v>
      </c>
      <c r="H18" s="67">
        <f t="shared" si="0"/>
        <v>53823</v>
      </c>
      <c r="I18" s="67">
        <f t="shared" si="0"/>
        <v>80460.402069408781</v>
      </c>
      <c r="J18" s="67">
        <f t="shared" si="0"/>
        <v>120280.85207385173</v>
      </c>
      <c r="K18" s="67">
        <f t="shared" si="0"/>
        <v>179808.73825526616</v>
      </c>
      <c r="L18" s="67">
        <f t="shared" si="0"/>
        <v>268797.41700781824</v>
      </c>
      <c r="M18" s="67">
        <f t="shared" si="0"/>
        <v>401827.25317554938</v>
      </c>
      <c r="N18" s="67">
        <f t="shared" si="0"/>
        <v>600694.54235086893</v>
      </c>
      <c r="O18" s="67">
        <f t="shared" si="0"/>
        <v>897982.72854449612</v>
      </c>
      <c r="P18" s="67">
        <f t="shared" si="0"/>
        <v>1342401.0439788736</v>
      </c>
      <c r="Q18" s="67">
        <f t="shared" si="0"/>
        <v>2006765.2813283221</v>
      </c>
      <c r="R18" s="67">
        <f t="shared" si="0"/>
        <v>2999928.3093585833</v>
      </c>
      <c r="S18" s="67">
        <f t="shared" si="0"/>
        <v>4484615.08928141</v>
      </c>
      <c r="T18" s="67">
        <f t="shared" si="0"/>
        <v>6704084.3730397755</v>
      </c>
      <c r="U18" s="67">
        <f t="shared" si="0"/>
        <v>10021985.473905591</v>
      </c>
      <c r="V18" s="67">
        <f t="shared" si="0"/>
        <v>14981940.448585516</v>
      </c>
    </row>
    <row r="19" spans="3:22" ht="19" x14ac:dyDescent="0.25">
      <c r="C19" s="66" t="str">
        <f>'DCF Analysis'!E46</f>
        <v>EBITDA</v>
      </c>
      <c r="D19" s="67">
        <f>'DCF Analysis'!F46</f>
        <v>0</v>
      </c>
      <c r="E19" s="67">
        <f>'DCF Analysis'!G46</f>
        <v>0</v>
      </c>
      <c r="F19" s="67">
        <f>'DCF Analysis'!H46</f>
        <v>80</v>
      </c>
      <c r="G19" s="67">
        <f>'DCF Analysis'!I46</f>
        <v>1993.6754052767319</v>
      </c>
      <c r="H19" s="67">
        <f>'DCF Analysis'!J46</f>
        <v>6494.6461472601804</v>
      </c>
      <c r="I19" s="67">
        <f>'DCF Analysis'!L46</f>
        <v>13947.38836670517</v>
      </c>
      <c r="J19" s="67">
        <f>'DCF Analysis'!M46</f>
        <v>26762.079417263551</v>
      </c>
      <c r="K19" s="67">
        <f>'DCF Analysis'!N46</f>
        <v>48261.747877493908</v>
      </c>
      <c r="L19" s="67">
        <f>'DCF Analysis'!O46</f>
        <v>83682.536058539146</v>
      </c>
      <c r="M19" s="67">
        <f>'DCF Analysis'!P46</f>
        <v>141230.49723447615</v>
      </c>
      <c r="N19" s="67">
        <f>'DCF Analysis'!Q46</f>
        <v>233705.17484731833</v>
      </c>
      <c r="O19" s="67">
        <f>'DCF Analysis'!R46</f>
        <v>380989.47512762039</v>
      </c>
      <c r="P19" s="67">
        <f>'DCF Analysis'!S46</f>
        <v>613860.2989231518</v>
      </c>
      <c r="Q19" s="67">
        <f>'DCF Analysis'!T46</f>
        <v>979809.89686222654</v>
      </c>
      <c r="R19" s="67">
        <f>'DCF Analysis'!U46</f>
        <v>1551924.3207063545</v>
      </c>
      <c r="S19" s="67">
        <f>'DCF Analysis'!V46</f>
        <v>2442404.3028084552</v>
      </c>
      <c r="T19" s="67">
        <f>'DCF Analysis'!W46</f>
        <v>3823128.2954650177</v>
      </c>
      <c r="U19" s="67">
        <f>'DCF Analysis'!X46</f>
        <v>5956887.1579292752</v>
      </c>
      <c r="V19" s="67">
        <f>'DCF Analysis'!Y46</f>
        <v>9244775.7398026772</v>
      </c>
    </row>
    <row r="20" spans="3:22" ht="19" x14ac:dyDescent="0.25">
      <c r="C20" s="66" t="str">
        <f>'DCF Analysis'!E52</f>
        <v>EBIT</v>
      </c>
      <c r="D20" s="67">
        <f>'DCF Analysis'!F52</f>
        <v>0</v>
      </c>
      <c r="E20" s="67">
        <f>'DCF Analysis'!G52</f>
        <v>0</v>
      </c>
      <c r="F20" s="67">
        <f>'DCF Analysis'!H52</f>
        <v>-818</v>
      </c>
      <c r="G20" s="67">
        <f>'DCF Analysis'!I52</f>
        <v>259.67540527673191</v>
      </c>
      <c r="H20" s="67">
        <f>'DCF Analysis'!J52</f>
        <v>4373.6461472601804</v>
      </c>
      <c r="I20" s="67">
        <f>'DCF Analysis'!L52</f>
        <v>10602.421756937983</v>
      </c>
      <c r="J20" s="67">
        <f>'DCF Analysis'!M52</f>
        <v>21486.83112850476</v>
      </c>
      <c r="K20" s="67">
        <f>'DCF Analysis'!N52</f>
        <v>39942.309223967437</v>
      </c>
      <c r="L20" s="67">
        <f>'DCF Analysis'!O52</f>
        <v>70562.19447058416</v>
      </c>
      <c r="M20" s="67">
        <f>'DCF Analysis'!P52</f>
        <v>120538.7930758485</v>
      </c>
      <c r="N20" s="67">
        <f>'DCF Analysis'!Q52</f>
        <v>201072.89785071751</v>
      </c>
      <c r="O20" s="67">
        <f>'DCF Analysis'!R52</f>
        <v>329526.07250890112</v>
      </c>
      <c r="P20" s="67">
        <f>'DCF Analysis'!S52</f>
        <v>532698.88290022803</v>
      </c>
      <c r="Q20" s="67">
        <f>'DCF Analysis'!T52</f>
        <v>851812.61888103676</v>
      </c>
      <c r="R20" s="67">
        <f>'DCF Analysis'!U52</f>
        <v>1350063.5847383353</v>
      </c>
      <c r="S20" s="67">
        <f>'DCF Analysis'!V52</f>
        <v>2124055.6834609518</v>
      </c>
      <c r="T20" s="67">
        <f>'DCF Analysis'!W52</f>
        <v>3321070.0672788401</v>
      </c>
      <c r="U20" s="67">
        <f>'DCF Analysis'!X52</f>
        <v>5165105.9182113875</v>
      </c>
      <c r="V20" s="67">
        <f>'DCF Analysis'!Y52</f>
        <v>7996080.8745992808</v>
      </c>
    </row>
    <row r="21" spans="3:22" ht="19" x14ac:dyDescent="0.25">
      <c r="C21" s="66" t="str">
        <f>'DCF Analysis'!E74</f>
        <v>Unlevered Free Cash Flow</v>
      </c>
      <c r="D21" s="67">
        <f>'DCF Analysis'!F74</f>
        <v>0</v>
      </c>
      <c r="E21" s="67">
        <f>'DCF Analysis'!G74</f>
        <v>0</v>
      </c>
      <c r="F21" s="67">
        <f>'DCF Analysis'!H74</f>
        <v>-1462</v>
      </c>
      <c r="G21" s="67">
        <f>'DCF Analysis'!I74</f>
        <v>-13999.324594723268</v>
      </c>
      <c r="H21" s="67">
        <f>'DCF Analysis'!J74</f>
        <v>2855.6461472601804</v>
      </c>
      <c r="I21" s="67">
        <f>'DCF Analysis'!L74</f>
        <v>19874.230428338826</v>
      </c>
      <c r="J21" s="67">
        <f>'DCF Analysis'!M74</f>
        <v>34635.199750438005</v>
      </c>
      <c r="K21" s="67">
        <f>'DCF Analysis'!N74</f>
        <v>58472.779745522486</v>
      </c>
      <c r="L21" s="67">
        <f>'DCF Analysis'!O74</f>
        <v>96501.949076622303</v>
      </c>
      <c r="M21" s="67">
        <f>'DCF Analysis'!P74</f>
        <v>156554.5200784466</v>
      </c>
      <c r="N21" s="67">
        <f>'DCF Analysis'!Q74</f>
        <v>250548.28540479662</v>
      </c>
      <c r="O21" s="67">
        <f>'DCF Analysis'!R74</f>
        <v>396504.97732958145</v>
      </c>
      <c r="P21" s="67">
        <f>'DCF Analysis'!S74</f>
        <v>621496.73368378973</v>
      </c>
      <c r="Q21" s="67">
        <f>'DCF Analysis'!T74</f>
        <v>965899.61118786107</v>
      </c>
      <c r="R21" s="67">
        <f>'DCF Analysis'!U74</f>
        <v>1489446.9778854644</v>
      </c>
      <c r="S21" s="67">
        <f>'DCF Analysis'!V74</f>
        <v>2279686.108760613</v>
      </c>
      <c r="T21" s="67">
        <f>'DCF Analysis'!W74</f>
        <v>3463498.1755924118</v>
      </c>
      <c r="U21" s="67">
        <f>'DCF Analysis'!X74</f>
        <v>5222233.2287211334</v>
      </c>
      <c r="V21" s="67">
        <f>'DCF Analysis'!Y74</f>
        <v>7810504.383934794</v>
      </c>
    </row>
    <row r="22" spans="3:22" ht="19" x14ac:dyDescent="0.25">
      <c r="C22" s="60"/>
      <c r="D22" s="67"/>
      <c r="E22" s="67"/>
      <c r="F22" s="67"/>
      <c r="G22" s="67"/>
      <c r="H22" s="67"/>
      <c r="I22" s="67"/>
      <c r="J22" s="67"/>
      <c r="K22" s="67"/>
      <c r="L22" s="67"/>
      <c r="M22" s="67"/>
      <c r="N22" s="67"/>
      <c r="O22" s="67"/>
      <c r="P22" s="67"/>
      <c r="Q22" s="67"/>
      <c r="R22" s="67"/>
      <c r="S22" s="67"/>
      <c r="T22" s="67"/>
      <c r="U22" s="67"/>
      <c r="V22" s="67"/>
    </row>
    <row r="23" spans="3:22" ht="19" x14ac:dyDescent="0.25">
      <c r="C23" s="60"/>
      <c r="D23" s="60"/>
      <c r="E23" s="60"/>
      <c r="F23" s="60"/>
      <c r="G23" s="60"/>
      <c r="H23" s="60"/>
      <c r="I23" s="60"/>
      <c r="J23" s="60"/>
      <c r="K23" s="60"/>
      <c r="L23" s="60"/>
      <c r="M23" s="60"/>
      <c r="N23" s="60"/>
      <c r="O23" s="60"/>
      <c r="P23" s="60"/>
      <c r="Q23" s="60"/>
      <c r="R23" s="60"/>
      <c r="S23" s="60"/>
      <c r="T23" s="60"/>
      <c r="U23" s="60"/>
      <c r="V23" s="60"/>
    </row>
    <row r="24" spans="3:22" ht="19" x14ac:dyDescent="0.25">
      <c r="C24" s="60"/>
      <c r="D24" s="60"/>
      <c r="E24" s="60"/>
      <c r="F24" s="60"/>
      <c r="G24" s="60"/>
      <c r="H24" s="60"/>
      <c r="I24" s="60"/>
      <c r="J24" s="60"/>
      <c r="K24" s="60"/>
      <c r="L24" s="60"/>
      <c r="M24" s="60"/>
      <c r="N24" s="60"/>
      <c r="O24" s="60"/>
      <c r="P24" s="60"/>
      <c r="Q24" s="60"/>
      <c r="R24" s="60"/>
      <c r="S24" s="60"/>
      <c r="T24" s="60"/>
      <c r="U24" s="60"/>
      <c r="V24" s="60"/>
    </row>
  </sheetData>
  <conditionalFormatting sqref="E7:V8">
    <cfRule type="containsText" dxfId="1" priority="1" operator="containsText" text="P">
      <formula>NOT(ISERROR(SEARCH("P",E7)))</formula>
    </cfRule>
    <cfRule type="containsText" dxfId="0" priority="2" operator="containsText" text="H">
      <formula>NOT(ISERROR(SEARCH("H",E7)))</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DF55B54E40D9C4BA3878A483CB58113" ma:contentTypeVersion="11" ma:contentTypeDescription="Create a new document." ma:contentTypeScope="" ma:versionID="d343da664e3f5731d93c6f5bb50b8c88">
  <xsd:schema xmlns:xsd="http://www.w3.org/2001/XMLSchema" xmlns:xs="http://www.w3.org/2001/XMLSchema" xmlns:p="http://schemas.microsoft.com/office/2006/metadata/properties" xmlns:ns2="71ab5154-9a20-44b6-905a-114b9fb4ef92" xmlns:ns3="f22aa677-b5a5-4d63-a0c5-ffad23edfb7d" targetNamespace="http://schemas.microsoft.com/office/2006/metadata/properties" ma:root="true" ma:fieldsID="aa591068e9fee7eb802657c3cbbaffa9" ns2:_="" ns3:_="">
    <xsd:import namespace="71ab5154-9a20-44b6-905a-114b9fb4ef92"/>
    <xsd:import namespace="f22aa677-b5a5-4d63-a0c5-ffad23edfb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b5154-9a20-44b6-905a-114b9fb4ef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22aa677-b5a5-4d63-a0c5-ffad23edfb7d"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E1F29F-CD25-45B7-89B3-2F03756643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b5154-9a20-44b6-905a-114b9fb4ef92"/>
    <ds:schemaRef ds:uri="f22aa677-b5a5-4d63-a0c5-ffad23edfb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B2BE7CD-2BA0-4707-BECD-C6AC9EFB7B74}">
  <ds:schemaRefs>
    <ds:schemaRef ds:uri="http://schemas.microsoft.com/office/infopath/2007/PartnerControls"/>
    <ds:schemaRef ds:uri="http://purl.org/dc/terms/"/>
    <ds:schemaRef ds:uri="f22aa677-b5a5-4d63-a0c5-ffad23edfb7d"/>
    <ds:schemaRef ds:uri="http://schemas.microsoft.com/office/2006/metadata/properties"/>
    <ds:schemaRef ds:uri="http://purl.org/dc/elements/1.1/"/>
    <ds:schemaRef ds:uri="http://schemas.microsoft.com/office/2006/documentManagement/types"/>
    <ds:schemaRef ds:uri="http://www.w3.org/XML/1998/namespace"/>
    <ds:schemaRef ds:uri="71ab5154-9a20-44b6-905a-114b9fb4ef92"/>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99097C3D-F3B9-4120-BC27-F30FC55C88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DCF Analysis</vt:lpstr>
      <vt:lpstr>Graphs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Microsoft Office User</cp:lastModifiedBy>
  <cp:revision/>
  <dcterms:created xsi:type="dcterms:W3CDTF">2022-02-22T19:34:58Z</dcterms:created>
  <dcterms:modified xsi:type="dcterms:W3CDTF">2022-05-26T19:37:31Z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0x0101001DF55B54E40D9C4BA3878A483CB58113</vt:lpwstr>
  </property>
</Properties>
</file>