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i-levine-4/Desktop/"/>
    </mc:Choice>
  </mc:AlternateContent>
  <xr:revisionPtr revIDLastSave="0" documentId="13_ncr:1_{30AE7B80-317D-B74C-89B2-345F3A4DC577}" xr6:coauthVersionLast="47" xr6:coauthVersionMax="47" xr10:uidLastSave="{00000000-0000-0000-0000-000000000000}"/>
  <bookViews>
    <workbookView xWindow="0" yWindow="500" windowWidth="35840" windowHeight="21900" xr2:uid="{2B988AE5-9E62-AD4D-88C8-7102FAC0C587}"/>
  </bookViews>
  <sheets>
    <sheet name="Sheet1 (2)" sheetId="2" r:id="rId1"/>
    <sheet name="Wealth Data Over Time" sheetId="3" r:id="rId2"/>
    <sheet name="Sheet1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3" i="2" l="1"/>
  <c r="C47" i="2"/>
  <c r="C48" i="2"/>
  <c r="C50" i="2" s="1"/>
  <c r="C49" i="2" l="1"/>
  <c r="C57" i="2" l="1"/>
  <c r="C55" i="2" s="1"/>
  <c r="C18" i="2"/>
  <c r="C14" i="2"/>
  <c r="C10" i="2"/>
  <c r="C9" i="2"/>
  <c r="C17" i="2"/>
  <c r="C13" i="2"/>
  <c r="C21" i="2"/>
  <c r="C22" i="2" s="1"/>
  <c r="C67" i="2"/>
  <c r="C69" i="2"/>
  <c r="I16" i="3"/>
  <c r="K16" i="3" s="1"/>
  <c r="N14" i="3"/>
  <c r="N15" i="3"/>
  <c r="M14" i="3"/>
  <c r="M15" i="3"/>
  <c r="L15" i="3"/>
  <c r="L14" i="3"/>
  <c r="L13" i="3"/>
  <c r="K15" i="3"/>
  <c r="K14" i="3"/>
  <c r="K13" i="3"/>
  <c r="K12" i="3"/>
  <c r="J13" i="3"/>
  <c r="J12" i="3"/>
  <c r="I12" i="3"/>
  <c r="I11" i="3"/>
  <c r="I15" i="3"/>
  <c r="I14" i="3"/>
  <c r="J14" i="3" s="1"/>
  <c r="I13" i="3"/>
  <c r="I30" i="2"/>
  <c r="J30" i="2" s="1"/>
  <c r="I23" i="2"/>
  <c r="H23" i="2"/>
  <c r="G23" i="2"/>
  <c r="I24" i="2"/>
  <c r="J24" i="2" s="1"/>
  <c r="H24" i="2"/>
  <c r="I29" i="2"/>
  <c r="H29" i="2"/>
  <c r="G29" i="2"/>
  <c r="H30" i="2"/>
  <c r="G26" i="2"/>
  <c r="I27" i="2"/>
  <c r="J27" i="2" s="1"/>
  <c r="H27" i="2"/>
  <c r="C54" i="2" l="1"/>
  <c r="C59" i="2"/>
  <c r="J15" i="3"/>
  <c r="Q44" i="2"/>
  <c r="T49" i="2"/>
  <c r="T48" i="2"/>
  <c r="O37" i="2"/>
  <c r="C66" i="2" s="1"/>
  <c r="R34" i="2"/>
  <c r="O17" i="2"/>
  <c r="O18" i="2" s="1"/>
  <c r="I12" i="2"/>
  <c r="I26" i="2" s="1"/>
  <c r="H12" i="2"/>
  <c r="H26" i="2" s="1"/>
  <c r="G12" i="2"/>
  <c r="G27" i="2" s="1"/>
  <c r="O9" i="2"/>
  <c r="I9" i="2"/>
  <c r="H9" i="2"/>
  <c r="G9" i="2"/>
  <c r="G24" i="2" s="1"/>
  <c r="F9" i="2"/>
  <c r="I8" i="2"/>
  <c r="H8" i="2"/>
  <c r="G8" i="2"/>
  <c r="I7" i="2"/>
  <c r="H7" i="2"/>
  <c r="G7" i="2"/>
  <c r="O5" i="2"/>
  <c r="R4" i="2"/>
  <c r="S4" i="2" s="1"/>
  <c r="S3" i="2"/>
  <c r="T3" i="2" s="1"/>
  <c r="U3" i="2" s="1"/>
  <c r="V3" i="2" s="1"/>
  <c r="I11" i="2" l="1"/>
  <c r="J11" i="2"/>
  <c r="I13" i="2"/>
  <c r="U33" i="2"/>
  <c r="G14" i="2"/>
  <c r="G13" i="2"/>
  <c r="H14" i="2"/>
  <c r="I14" i="2"/>
  <c r="J14" i="2" s="1"/>
  <c r="G11" i="2"/>
  <c r="P18" i="2"/>
  <c r="H13" i="2"/>
  <c r="H10" i="2"/>
  <c r="H11" i="2"/>
  <c r="I10" i="2"/>
  <c r="G10" i="2"/>
  <c r="T4" i="2"/>
  <c r="S5" i="2"/>
  <c r="U48" i="2"/>
  <c r="V48" i="2" s="1"/>
  <c r="O10" i="2"/>
  <c r="O11" i="2"/>
  <c r="H15" i="2"/>
  <c r="U49" i="2"/>
  <c r="V49" i="2" s="1"/>
  <c r="G15" i="2"/>
  <c r="G17" i="2" s="1"/>
  <c r="I15" i="2"/>
  <c r="I17" i="2" s="1"/>
  <c r="J17" i="2" s="1"/>
  <c r="O7" i="2"/>
  <c r="G16" i="2" l="1"/>
  <c r="G30" i="2"/>
  <c r="H16" i="2"/>
  <c r="H17" i="2"/>
  <c r="O12" i="2"/>
  <c r="O13" i="2"/>
  <c r="C24" i="2"/>
  <c r="I16" i="2"/>
  <c r="T2" i="2"/>
  <c r="T5" i="2"/>
  <c r="U2" i="2" s="1"/>
  <c r="U4" i="2" s="1"/>
  <c r="V4" i="2" s="1"/>
  <c r="C26" i="2" l="1"/>
  <c r="S14" i="2" s="1"/>
  <c r="C28" i="2"/>
  <c r="C25" i="2"/>
  <c r="R14" i="2"/>
  <c r="O15" i="2"/>
  <c r="R16" i="2" l="1"/>
  <c r="R15" i="2"/>
  <c r="O21" i="2"/>
  <c r="O19" i="2"/>
  <c r="C29" i="2"/>
  <c r="C30" i="2"/>
  <c r="C61" i="2" s="1"/>
  <c r="S16" i="2"/>
  <c r="S15" i="2"/>
  <c r="S18" i="2" l="1"/>
  <c r="S17" i="2"/>
  <c r="S21" i="2" s="1"/>
  <c r="T14" i="2"/>
  <c r="R18" i="2"/>
  <c r="R17" i="2"/>
  <c r="R19" i="2"/>
  <c r="R21" i="2" l="1"/>
  <c r="T16" i="2"/>
  <c r="T15" i="2"/>
  <c r="T17" i="2" l="1"/>
  <c r="T18" i="2"/>
  <c r="U18" i="2" s="1"/>
  <c r="U15" i="2"/>
  <c r="T19" i="2"/>
  <c r="U19" i="2" s="1"/>
  <c r="U16" i="2"/>
  <c r="T21" i="2" l="1"/>
  <c r="U21" i="2" s="1"/>
  <c r="U17" i="2"/>
  <c r="H11" i="1" l="1"/>
  <c r="G11" i="1"/>
  <c r="F11" i="1"/>
  <c r="H9" i="1"/>
  <c r="G9" i="1"/>
  <c r="F9" i="1"/>
  <c r="E9" i="1"/>
  <c r="H8" i="1"/>
  <c r="G8" i="1"/>
  <c r="F8" i="1"/>
  <c r="H7" i="1"/>
  <c r="G7" i="1"/>
  <c r="F7" i="1"/>
  <c r="K17" i="1"/>
  <c r="N4" i="1"/>
  <c r="O4" i="1" s="1"/>
  <c r="O5" i="1" s="1"/>
  <c r="O3" i="1"/>
  <c r="P3" i="1" s="1"/>
  <c r="Q3" i="1" s="1"/>
  <c r="R3" i="1" s="1"/>
  <c r="N34" i="1"/>
  <c r="C38" i="1"/>
  <c r="K37" i="1" s="1"/>
  <c r="Q33" i="1" s="1"/>
  <c r="C40" i="1"/>
  <c r="P41" i="1"/>
  <c r="P40" i="1"/>
  <c r="C10" i="1"/>
  <c r="K10" i="1" s="1"/>
  <c r="K5" i="1"/>
  <c r="I8" i="1" l="1"/>
  <c r="F12" i="1"/>
  <c r="G10" i="1"/>
  <c r="G12" i="1"/>
  <c r="F10" i="1"/>
  <c r="I10" i="1"/>
  <c r="H12" i="1"/>
  <c r="I12" i="1"/>
  <c r="F13" i="1"/>
  <c r="F14" i="1" s="1"/>
  <c r="H10" i="1"/>
  <c r="G13" i="1"/>
  <c r="G14" i="1" s="1"/>
  <c r="H13" i="1"/>
  <c r="H14" i="1" s="1"/>
  <c r="I14" i="1"/>
  <c r="I15" i="1" s="1"/>
  <c r="L18" i="1"/>
  <c r="K18" i="1"/>
  <c r="C12" i="1"/>
  <c r="P4" i="1"/>
  <c r="K11" i="1"/>
  <c r="K9" i="1"/>
  <c r="C37" i="1"/>
  <c r="M42" i="1"/>
  <c r="P2" i="1" l="1"/>
  <c r="P5" i="1"/>
  <c r="Q2" i="1" s="1"/>
  <c r="Q4" i="1" s="1"/>
  <c r="R4" i="1" s="1"/>
  <c r="Q40" i="1"/>
  <c r="R40" i="1" s="1"/>
  <c r="Q41" i="1"/>
  <c r="R41" i="1" s="1"/>
  <c r="K7" i="1" l="1"/>
  <c r="K12" i="1"/>
  <c r="C14" i="1"/>
  <c r="N14" i="1" s="1"/>
  <c r="N16" i="1" s="1"/>
  <c r="K13" i="1"/>
  <c r="C16" i="1"/>
  <c r="C20" i="1" s="1"/>
  <c r="K15" i="1" l="1"/>
  <c r="N15" i="1"/>
  <c r="K19" i="1"/>
  <c r="C22" i="1"/>
  <c r="K21" i="1"/>
  <c r="C23" i="1"/>
  <c r="C32" i="1" s="1"/>
  <c r="N19" i="1"/>
  <c r="N18" i="1"/>
  <c r="N17" i="1"/>
  <c r="C18" i="1"/>
  <c r="O14" i="1" s="1"/>
  <c r="C17" i="1"/>
  <c r="O15" i="1" l="1"/>
  <c r="O16" i="1"/>
  <c r="N21" i="1"/>
  <c r="P14" i="1"/>
  <c r="P15" i="1" l="1"/>
  <c r="P16" i="1"/>
  <c r="P19" i="1" s="1"/>
  <c r="Q19" i="1" s="1"/>
  <c r="Q16" i="1"/>
  <c r="O18" i="1"/>
  <c r="O17" i="1"/>
  <c r="Q15" i="1"/>
  <c r="O21" i="1" l="1"/>
  <c r="P17" i="1"/>
  <c r="P21" i="1" s="1"/>
  <c r="P18" i="1"/>
  <c r="Q18" i="1" s="1"/>
  <c r="Q21" i="1" l="1"/>
  <c r="Q17" i="1"/>
</calcChain>
</file>

<file path=xl/sharedStrings.xml><?xml version="1.0" encoding="utf-8"?>
<sst xmlns="http://schemas.openxmlformats.org/spreadsheetml/2006/main" count="143" uniqueCount="84">
  <si>
    <t>Jan 1st , 2019</t>
  </si>
  <si>
    <t xml:space="preserve">Usually </t>
  </si>
  <si>
    <t>US Circulation 2019</t>
  </si>
  <si>
    <t>Change YoY</t>
  </si>
  <si>
    <t>Chick Fil A Sandwhich</t>
  </si>
  <si>
    <t>up to 2026 Rent</t>
  </si>
  <si>
    <t>Blackrock</t>
  </si>
  <si>
    <t>Total Global US $s in existence (2019)</t>
  </si>
  <si>
    <t xml:space="preserve">Total Liquid US $ (M1, 2020) </t>
  </si>
  <si>
    <t>Change (Since Start of COVID-19)</t>
  </si>
  <si>
    <t>Total Inflationary Impact (Corona Stimulus)</t>
  </si>
  <si>
    <t>Time Period (yrs)</t>
  </si>
  <si>
    <t>1 (YoY Initial)</t>
  </si>
  <si>
    <t>Total Inflationary Impact (America Rescue Plan)</t>
  </si>
  <si>
    <t>Assumed Target Inflation</t>
  </si>
  <si>
    <t>Assumed Gov Lending Interesting rate</t>
  </si>
  <si>
    <t>US GPD (2019)</t>
  </si>
  <si>
    <t>US GPD (2020)</t>
  </si>
  <si>
    <t>Check</t>
  </si>
  <si>
    <t>Trump "CARES Act" (March 2020)</t>
  </si>
  <si>
    <t xml:space="preserve">US Circulation 2021 (estimate) </t>
  </si>
  <si>
    <t>Total Money in Existence</t>
  </si>
  <si>
    <t>YoY Increase</t>
  </si>
  <si>
    <t>Total Inflationary Impact (Infrastructure Bill)</t>
  </si>
  <si>
    <t>Total Projected Inflation (50 year amortization)</t>
  </si>
  <si>
    <t>Total Projected Inflation (100 year amortization)</t>
  </si>
  <si>
    <t>Total Projected Inflation (average amortization)</t>
  </si>
  <si>
    <t>Debt/Macro Impacts</t>
  </si>
  <si>
    <t>Annually Adjusted</t>
  </si>
  <si>
    <t xml:space="preserve">Total Liquid US $ (M1, 2019) </t>
  </si>
  <si>
    <t>Assumed US Circulation 2021</t>
  </si>
  <si>
    <t>Actual US Circulation 2021</t>
  </si>
  <si>
    <t>Biden Infrastructure Bill (November 2021)</t>
  </si>
  <si>
    <t>Biden Stimulus "America Rescue Plan" (March 2021)</t>
  </si>
  <si>
    <t>Amount</t>
  </si>
  <si>
    <t>Money in Cirulation (2019)</t>
  </si>
  <si>
    <t>Percent Impact</t>
  </si>
  <si>
    <t>Totals (if applicable)</t>
  </si>
  <si>
    <t>M1 (2019)</t>
  </si>
  <si>
    <t>Researched Numbers</t>
  </si>
  <si>
    <t>Average</t>
  </si>
  <si>
    <t>Assumed US Circulation 2020</t>
  </si>
  <si>
    <t>Actual US Circulation 2020</t>
  </si>
  <si>
    <t>Percent Impact (of individual bill)</t>
  </si>
  <si>
    <t>Percent Impact (compounded)</t>
  </si>
  <si>
    <t>Money in Cirulation (2022)</t>
  </si>
  <si>
    <t>Date</t>
  </si>
  <si>
    <t>50-90%</t>
  </si>
  <si>
    <t>Bottom 50%</t>
  </si>
  <si>
    <t xml:space="preserve">Top 1% </t>
  </si>
  <si>
    <t xml:space="preserve">90-99% </t>
  </si>
  <si>
    <t>All numbers in Trillions</t>
  </si>
  <si>
    <t>Total</t>
  </si>
  <si>
    <t>Growth</t>
  </si>
  <si>
    <t>Growth from 2010</t>
  </si>
  <si>
    <t>Growth from 2015</t>
  </si>
  <si>
    <t>Growth from 2019</t>
  </si>
  <si>
    <t>Growth over each time period</t>
  </si>
  <si>
    <t>Total American Household Wealth (2019)</t>
  </si>
  <si>
    <t>Total American Household Wealth (2021)</t>
  </si>
  <si>
    <t>Ignore/Old Analysis</t>
  </si>
  <si>
    <t>Research Links</t>
  </si>
  <si>
    <t>M1</t>
  </si>
  <si>
    <t>American Household Wealth</t>
  </si>
  <si>
    <t>Currency in Circulation</t>
  </si>
  <si>
    <t>Assumed Change YoY</t>
  </si>
  <si>
    <t>Assumed Change (Since Start of COVID-19)</t>
  </si>
  <si>
    <t>M1 (2021)</t>
  </si>
  <si>
    <t>For Reference</t>
  </si>
  <si>
    <t>Analysis (started initially in April of 2020, most recently updated in May of 2022)</t>
  </si>
  <si>
    <t>Additional Analysis</t>
  </si>
  <si>
    <t>Mutliple</t>
  </si>
  <si>
    <t xml:space="preserve">Total M1 (2019) </t>
  </si>
  <si>
    <t xml:space="preserve">Total M1 (2021) </t>
  </si>
  <si>
    <t>Total Dollars in Circulation (2021)</t>
  </si>
  <si>
    <t>Total Dollars in Circulation (2019)</t>
  </si>
  <si>
    <t xml:space="preserve">Assumed  Marginal Inflationary Impact </t>
  </si>
  <si>
    <t>Growth Mutliple</t>
  </si>
  <si>
    <t>Change in M1 when the definition Change</t>
  </si>
  <si>
    <t>M1 in 2021</t>
  </si>
  <si>
    <t>M1 upon change</t>
  </si>
  <si>
    <t>Change since then</t>
  </si>
  <si>
    <t>Change since initial increase</t>
  </si>
  <si>
    <t>Inflation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</si>
</sst>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0%"/>
    <numFmt numFmtId="166" formatCode="0.00\x"/>
    <numFmt numFmtId="167" formatCode="0.000\x"/>
    <numFmt numFmtId="168" formatCode="0.0%"/>
    <numFmt numFmtId="170" formatCode="0.000%"/>
  </numFmts>
  <fonts count="2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F0CFE"/>
      <name val="Calibri"/>
      <family val="2"/>
      <scheme val="minor"/>
    </font>
    <font>
      <sz val="12"/>
      <color rgb="FF202124"/>
      <name val="Arial"/>
      <family val="2"/>
    </font>
    <font>
      <i/>
      <sz val="12"/>
      <color theme="1"/>
      <name val="Calibri"/>
      <family val="2"/>
      <scheme val="minor"/>
    </font>
    <font>
      <sz val="12"/>
      <color theme="2" tint="-0.249977111117893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sz val="12"/>
      <color rgb="FF0F0CFE"/>
      <name val="Calibri"/>
      <family val="2"/>
      <scheme val="minor"/>
    </font>
    <font>
      <b/>
      <sz val="12"/>
      <color rgb="FF1A09FB"/>
      <name val="Calibri"/>
      <family val="2"/>
      <scheme val="minor"/>
    </font>
    <font>
      <b/>
      <i/>
      <sz val="12"/>
      <color theme="2" tint="-0.499984740745262"/>
      <name val="Calibri"/>
      <family val="2"/>
      <scheme val="minor"/>
    </font>
    <font>
      <sz val="12"/>
      <color theme="2" tint="-0.499984740745262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u/>
      <sz val="12"/>
      <color theme="1"/>
      <name val="Calibri"/>
      <family val="2"/>
      <scheme val="minor"/>
    </font>
    <font>
      <sz val="12"/>
      <color rgb="FF0F0CFE"/>
      <name val="Arial"/>
      <family val="2"/>
    </font>
    <font>
      <b/>
      <sz val="13"/>
      <color theme="1"/>
      <name val="Calibri"/>
      <family val="2"/>
      <scheme val="minor"/>
    </font>
    <font>
      <b/>
      <i/>
      <sz val="12"/>
      <color rgb="FF0F0CFE"/>
      <name val="Calibri"/>
      <family val="2"/>
      <scheme val="minor"/>
    </font>
    <font>
      <i/>
      <u val="singleAccounting"/>
      <sz val="12"/>
      <color theme="1"/>
      <name val="Calibri"/>
      <family val="2"/>
      <scheme val="minor"/>
    </font>
    <font>
      <b/>
      <sz val="14"/>
      <color rgb="FF20212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44">
    <xf numFmtId="0" fontId="0" fillId="0" borderId="0" xfId="0"/>
    <xf numFmtId="10" fontId="0" fillId="0" borderId="0" xfId="2" applyNumberFormat="1" applyFont="1"/>
    <xf numFmtId="164" fontId="0" fillId="0" borderId="0" xfId="1" applyNumberFormat="1" applyFont="1"/>
    <xf numFmtId="164" fontId="2" fillId="0" borderId="0" xfId="1" applyNumberFormat="1" applyFont="1"/>
    <xf numFmtId="164" fontId="0" fillId="0" borderId="0" xfId="0" applyNumberFormat="1"/>
    <xf numFmtId="3" fontId="0" fillId="0" borderId="0" xfId="0" applyNumberFormat="1"/>
    <xf numFmtId="9" fontId="0" fillId="3" borderId="0" xfId="2" applyFont="1" applyFill="1"/>
    <xf numFmtId="0" fontId="0" fillId="0" borderId="1" xfId="0" applyBorder="1"/>
    <xf numFmtId="164" fontId="0" fillId="0" borderId="2" xfId="1" applyNumberFormat="1" applyFont="1" applyBorder="1"/>
    <xf numFmtId="0" fontId="0" fillId="0" borderId="3" xfId="0" applyBorder="1"/>
    <xf numFmtId="164" fontId="0" fillId="0" borderId="4" xfId="1" applyNumberFormat="1" applyFont="1" applyBorder="1"/>
    <xf numFmtId="0" fontId="2" fillId="0" borderId="3" xfId="0" applyFont="1" applyBorder="1"/>
    <xf numFmtId="164" fontId="2" fillId="0" borderId="4" xfId="1" applyNumberFormat="1" applyFont="1" applyBorder="1"/>
    <xf numFmtId="0" fontId="0" fillId="0" borderId="5" xfId="0" applyBorder="1"/>
    <xf numFmtId="0" fontId="0" fillId="0" borderId="3" xfId="0" applyFill="1" applyBorder="1"/>
    <xf numFmtId="0" fontId="0" fillId="0" borderId="0" xfId="0" applyBorder="1"/>
    <xf numFmtId="9" fontId="0" fillId="0" borderId="0" xfId="2" applyFont="1" applyBorder="1"/>
    <xf numFmtId="10" fontId="0" fillId="0" borderId="0" xfId="2" applyNumberFormat="1" applyFont="1" applyAlignment="1">
      <alignment horizontal="left"/>
    </xf>
    <xf numFmtId="9" fontId="0" fillId="0" borderId="0" xfId="2" applyNumberFormat="1" applyFont="1" applyAlignment="1">
      <alignment horizontal="left"/>
    </xf>
    <xf numFmtId="165" fontId="0" fillId="0" borderId="0" xfId="2" applyNumberFormat="1" applyFont="1" applyAlignment="1">
      <alignment horizontal="left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0" fontId="0" fillId="0" borderId="0" xfId="2" applyNumberFormat="1" applyFont="1" applyAlignment="1">
      <alignment horizontal="center" vertical="center"/>
    </xf>
    <xf numFmtId="44" fontId="0" fillId="2" borderId="0" xfId="2" applyNumberFormat="1" applyFont="1" applyFill="1"/>
    <xf numFmtId="0" fontId="3" fillId="0" borderId="0" xfId="0" applyFont="1" applyAlignment="1">
      <alignment horizontal="center" vertical="center"/>
    </xf>
    <xf numFmtId="10" fontId="0" fillId="0" borderId="0" xfId="0" applyNumberFormat="1"/>
    <xf numFmtId="0" fontId="4" fillId="0" borderId="3" xfId="0" applyFont="1" applyBorder="1"/>
    <xf numFmtId="164" fontId="4" fillId="0" borderId="4" xfId="1" applyNumberFormat="1" applyFont="1" applyBorder="1"/>
    <xf numFmtId="3" fontId="5" fillId="0" borderId="0" xfId="0" applyNumberFormat="1" applyFont="1"/>
    <xf numFmtId="10" fontId="0" fillId="0" borderId="0" xfId="2" applyNumberFormat="1" applyFon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right" indent="1"/>
    </xf>
    <xf numFmtId="166" fontId="0" fillId="0" borderId="6" xfId="2" applyNumberFormat="1" applyFont="1" applyBorder="1" applyAlignment="1">
      <alignment horizontal="center"/>
    </xf>
    <xf numFmtId="166" fontId="0" fillId="0" borderId="4" xfId="2" applyNumberFormat="1" applyFont="1" applyBorder="1" applyAlignment="1">
      <alignment horizontal="center" vertical="center"/>
    </xf>
    <xf numFmtId="166" fontId="0" fillId="0" borderId="6" xfId="2" applyNumberFormat="1" applyFont="1" applyBorder="1" applyAlignment="1">
      <alignment horizontal="center" vertical="center"/>
    </xf>
    <xf numFmtId="166" fontId="0" fillId="0" borderId="0" xfId="2" applyNumberFormat="1" applyFont="1" applyBorder="1" applyAlignment="1">
      <alignment horizontal="center" vertical="center"/>
    </xf>
    <xf numFmtId="10" fontId="0" fillId="0" borderId="0" xfId="2" applyNumberFormat="1" applyFont="1" applyAlignment="1">
      <alignment horizontal="center"/>
    </xf>
    <xf numFmtId="10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8" fontId="7" fillId="0" borderId="0" xfId="0" applyNumberFormat="1" applyFont="1" applyAlignment="1">
      <alignment horizontal="center" vertical="center"/>
    </xf>
    <xf numFmtId="0" fontId="8" fillId="0" borderId="0" xfId="0" applyFont="1"/>
    <xf numFmtId="10" fontId="8" fillId="0" borderId="0" xfId="0" applyNumberFormat="1" applyFont="1"/>
    <xf numFmtId="10" fontId="9" fillId="0" borderId="0" xfId="0" applyNumberFormat="1" applyFont="1"/>
    <xf numFmtId="10" fontId="10" fillId="0" borderId="0" xfId="0" applyNumberFormat="1" applyFont="1" applyAlignment="1">
      <alignment horizontal="center"/>
    </xf>
    <xf numFmtId="0" fontId="11" fillId="4" borderId="0" xfId="3" applyNumberFormat="1" applyFont="1" applyFill="1" applyAlignment="1">
      <alignment horizontal="center" vertical="center"/>
    </xf>
    <xf numFmtId="0" fontId="11" fillId="0" borderId="0" xfId="3" applyNumberFormat="1" applyFont="1" applyAlignment="1">
      <alignment horizontal="center" vertical="center"/>
    </xf>
    <xf numFmtId="0" fontId="0" fillId="0" borderId="0" xfId="0" applyAlignment="1">
      <alignment horizontal="left" indent="4"/>
    </xf>
    <xf numFmtId="167" fontId="0" fillId="0" borderId="0" xfId="2" applyNumberFormat="1" applyFont="1" applyBorder="1" applyAlignment="1">
      <alignment horizontal="center" vertical="center"/>
    </xf>
    <xf numFmtId="0" fontId="6" fillId="0" borderId="7" xfId="0" applyFont="1" applyFill="1" applyBorder="1"/>
    <xf numFmtId="166" fontId="6" fillId="0" borderId="7" xfId="2" applyNumberFormat="1" applyFont="1" applyBorder="1" applyAlignment="1">
      <alignment horizontal="center" vertical="center"/>
    </xf>
    <xf numFmtId="164" fontId="0" fillId="0" borderId="0" xfId="1" applyNumberFormat="1" applyFont="1" applyBorder="1"/>
    <xf numFmtId="164" fontId="4" fillId="0" borderId="0" xfId="1" applyNumberFormat="1" applyFont="1" applyBorder="1"/>
    <xf numFmtId="164" fontId="2" fillId="0" borderId="0" xfId="1" applyNumberFormat="1" applyFont="1" applyBorder="1"/>
    <xf numFmtId="166" fontId="0" fillId="0" borderId="0" xfId="2" applyNumberFormat="1" applyFont="1" applyBorder="1" applyAlignment="1">
      <alignment horizontal="center"/>
    </xf>
    <xf numFmtId="166" fontId="6" fillId="0" borderId="0" xfId="2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164" fontId="13" fillId="0" borderId="3" xfId="1" applyNumberFormat="1" applyFont="1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/>
    </xf>
    <xf numFmtId="164" fontId="8" fillId="0" borderId="0" xfId="1" applyNumberFormat="1" applyFont="1" applyBorder="1" applyAlignment="1">
      <alignment horizontal="left" vertical="center"/>
    </xf>
    <xf numFmtId="166" fontId="0" fillId="0" borderId="0" xfId="2" applyNumberFormat="1" applyFont="1" applyBorder="1" applyAlignment="1">
      <alignment horizontal="left" vertical="center"/>
    </xf>
    <xf numFmtId="164" fontId="8" fillId="0" borderId="0" xfId="1" applyNumberFormat="1" applyFont="1" applyBorder="1" applyAlignment="1">
      <alignment horizontal="right"/>
    </xf>
    <xf numFmtId="164" fontId="12" fillId="0" borderId="0" xfId="1" applyNumberFormat="1" applyFont="1" applyBorder="1" applyAlignment="1">
      <alignment horizontal="right"/>
    </xf>
    <xf numFmtId="164" fontId="8" fillId="0" borderId="0" xfId="1" applyNumberFormat="1" applyFont="1" applyBorder="1" applyAlignment="1">
      <alignment horizontal="left" vertical="center" indent="2"/>
    </xf>
    <xf numFmtId="10" fontId="8" fillId="0" borderId="17" xfId="2" applyNumberFormat="1" applyFont="1" applyBorder="1" applyAlignment="1">
      <alignment horizontal="center" vertical="center"/>
    </xf>
    <xf numFmtId="10" fontId="8" fillId="0" borderId="18" xfId="2" applyNumberFormat="1" applyFont="1" applyBorder="1" applyAlignment="1">
      <alignment horizontal="center" vertical="center"/>
    </xf>
    <xf numFmtId="10" fontId="8" fillId="0" borderId="19" xfId="2" applyNumberFormat="1" applyFont="1" applyBorder="1" applyAlignment="1">
      <alignment horizontal="center" vertical="center"/>
    </xf>
    <xf numFmtId="164" fontId="8" fillId="0" borderId="10" xfId="1" applyNumberFormat="1" applyFont="1" applyBorder="1" applyAlignment="1">
      <alignment horizontal="right"/>
    </xf>
    <xf numFmtId="164" fontId="14" fillId="0" borderId="0" xfId="4" applyNumberFormat="1"/>
    <xf numFmtId="0" fontId="8" fillId="0" borderId="0" xfId="0" applyFont="1" applyBorder="1"/>
    <xf numFmtId="164" fontId="6" fillId="0" borderId="0" xfId="1" applyNumberFormat="1" applyFont="1" applyBorder="1" applyAlignment="1">
      <alignment horizontal="center" vertical="center"/>
    </xf>
    <xf numFmtId="168" fontId="6" fillId="0" borderId="0" xfId="2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3" fillId="0" borderId="23" xfId="1" applyNumberFormat="1" applyFont="1" applyBorder="1" applyAlignment="1">
      <alignment horizontal="center" vertical="center"/>
    </xf>
    <xf numFmtId="10" fontId="8" fillId="0" borderId="8" xfId="2" applyNumberFormat="1" applyFont="1" applyBorder="1" applyAlignment="1">
      <alignment horizontal="center" vertical="center"/>
    </xf>
    <xf numFmtId="10" fontId="2" fillId="0" borderId="24" xfId="2" applyNumberFormat="1" applyFont="1" applyBorder="1" applyAlignment="1">
      <alignment horizontal="center" vertical="center"/>
    </xf>
    <xf numFmtId="166" fontId="0" fillId="0" borderId="24" xfId="2" applyNumberFormat="1" applyFont="1" applyBorder="1" applyAlignment="1">
      <alignment horizontal="center" vertical="center"/>
    </xf>
    <xf numFmtId="164" fontId="13" fillId="0" borderId="24" xfId="1" applyNumberFormat="1" applyFont="1" applyBorder="1" applyAlignment="1">
      <alignment horizontal="center" vertical="center"/>
    </xf>
    <xf numFmtId="10" fontId="8" fillId="0" borderId="21" xfId="2" applyNumberFormat="1" applyFont="1" applyBorder="1" applyAlignment="1">
      <alignment horizontal="center" vertical="center"/>
    </xf>
    <xf numFmtId="164" fontId="0" fillId="0" borderId="25" xfId="1" applyNumberFormat="1" applyFont="1" applyBorder="1" applyAlignment="1">
      <alignment horizontal="center" vertical="center"/>
    </xf>
    <xf numFmtId="164" fontId="0" fillId="0" borderId="26" xfId="1" applyNumberFormat="1" applyFont="1" applyBorder="1" applyAlignment="1">
      <alignment horizontal="center" vertical="center"/>
    </xf>
    <xf numFmtId="10" fontId="8" fillId="0" borderId="12" xfId="2" applyNumberFormat="1" applyFont="1" applyBorder="1" applyAlignment="1">
      <alignment horizontal="center" vertical="center"/>
    </xf>
    <xf numFmtId="164" fontId="13" fillId="0" borderId="1" xfId="1" applyNumberFormat="1" applyFont="1" applyBorder="1" applyAlignment="1">
      <alignment horizontal="center" vertical="center"/>
    </xf>
    <xf numFmtId="164" fontId="13" fillId="0" borderId="23" xfId="1" applyNumberFormat="1" applyFont="1" applyBorder="1" applyAlignment="1">
      <alignment horizontal="center" vertical="center"/>
    </xf>
    <xf numFmtId="164" fontId="0" fillId="0" borderId="23" xfId="1" applyNumberFormat="1" applyFont="1" applyBorder="1" applyAlignment="1">
      <alignment horizontal="center" vertical="center"/>
    </xf>
    <xf numFmtId="164" fontId="3" fillId="0" borderId="12" xfId="1" applyNumberFormat="1" applyFont="1" applyBorder="1" applyAlignment="1">
      <alignment horizontal="center" vertical="center"/>
    </xf>
    <xf numFmtId="164" fontId="3" fillId="0" borderId="13" xfId="1" applyNumberFormat="1" applyFont="1" applyBorder="1" applyAlignment="1">
      <alignment horizontal="center" vertical="center"/>
    </xf>
    <xf numFmtId="164" fontId="3" fillId="0" borderId="14" xfId="1" applyNumberFormat="1" applyFont="1" applyBorder="1" applyAlignment="1">
      <alignment horizontal="center" vertical="center"/>
    </xf>
    <xf numFmtId="164" fontId="8" fillId="0" borderId="29" xfId="1" applyNumberFormat="1" applyFont="1" applyBorder="1" applyAlignment="1">
      <alignment horizontal="right"/>
    </xf>
    <xf numFmtId="10" fontId="8" fillId="0" borderId="13" xfId="2" applyNumberFormat="1" applyFont="1" applyBorder="1" applyAlignment="1">
      <alignment horizontal="center" vertical="center"/>
    </xf>
    <xf numFmtId="10" fontId="8" fillId="0" borderId="14" xfId="2" applyNumberFormat="1" applyFont="1" applyBorder="1" applyAlignment="1">
      <alignment horizontal="center" vertical="center"/>
    </xf>
    <xf numFmtId="164" fontId="8" fillId="0" borderId="11" xfId="1" applyNumberFormat="1" applyFont="1" applyBorder="1" applyAlignment="1">
      <alignment horizontal="right"/>
    </xf>
    <xf numFmtId="164" fontId="2" fillId="0" borderId="15" xfId="1" applyNumberFormat="1" applyFont="1" applyBorder="1" applyAlignment="1">
      <alignment horizontal="center" vertical="center"/>
    </xf>
    <xf numFmtId="164" fontId="2" fillId="0" borderId="9" xfId="1" applyNumberFormat="1" applyFont="1" applyBorder="1" applyAlignment="1">
      <alignment horizontal="center" vertical="center"/>
    </xf>
    <xf numFmtId="164" fontId="2" fillId="0" borderId="16" xfId="1" applyNumberFormat="1" applyFont="1" applyBorder="1" applyAlignment="1">
      <alignment horizontal="center" vertical="center"/>
    </xf>
    <xf numFmtId="0" fontId="3" fillId="0" borderId="0" xfId="0" applyFont="1"/>
    <xf numFmtId="0" fontId="15" fillId="0" borderId="0" xfId="0" applyFont="1"/>
    <xf numFmtId="9" fontId="3" fillId="0" borderId="0" xfId="2" applyFont="1"/>
    <xf numFmtId="0" fontId="0" fillId="0" borderId="32" xfId="0" applyBorder="1"/>
    <xf numFmtId="3" fontId="5" fillId="0" borderId="32" xfId="0" applyNumberFormat="1" applyFont="1" applyBorder="1"/>
    <xf numFmtId="3" fontId="0" fillId="0" borderId="0" xfId="0" applyNumberFormat="1" applyBorder="1"/>
    <xf numFmtId="0" fontId="0" fillId="0" borderId="33" xfId="0" applyBorder="1"/>
    <xf numFmtId="0" fontId="0" fillId="0" borderId="34" xfId="0" applyBorder="1"/>
    <xf numFmtId="0" fontId="14" fillId="0" borderId="0" xfId="4" applyBorder="1" applyAlignment="1">
      <alignment horizontal="left" indent="1"/>
    </xf>
    <xf numFmtId="0" fontId="14" fillId="0" borderId="0" xfId="4" applyAlignment="1">
      <alignment horizontal="left" indent="1"/>
    </xf>
    <xf numFmtId="164" fontId="6" fillId="0" borderId="0" xfId="1" applyNumberFormat="1" applyFont="1" applyBorder="1"/>
    <xf numFmtId="0" fontId="0" fillId="0" borderId="3" xfId="0" applyFont="1" applyBorder="1"/>
    <xf numFmtId="164" fontId="4" fillId="0" borderId="2" xfId="1" applyNumberFormat="1" applyFont="1" applyBorder="1"/>
    <xf numFmtId="0" fontId="3" fillId="0" borderId="3" xfId="0" applyFont="1" applyFill="1" applyBorder="1"/>
    <xf numFmtId="10" fontId="8" fillId="0" borderId="4" xfId="2" applyNumberFormat="1" applyFont="1" applyBorder="1"/>
    <xf numFmtId="3" fontId="16" fillId="0" borderId="0" xfId="0" applyNumberFormat="1" applyFont="1"/>
    <xf numFmtId="0" fontId="0" fillId="0" borderId="0" xfId="0" applyAlignment="1">
      <alignment horizontal="left" indent="1"/>
    </xf>
    <xf numFmtId="0" fontId="17" fillId="0" borderId="0" xfId="0" applyFont="1"/>
    <xf numFmtId="0" fontId="17" fillId="0" borderId="0" xfId="0" applyFont="1" applyBorder="1"/>
    <xf numFmtId="166" fontId="3" fillId="0" borderId="4" xfId="2" applyNumberFormat="1" applyFont="1" applyBorder="1" applyAlignment="1">
      <alignment horizontal="center" vertical="center"/>
    </xf>
    <xf numFmtId="166" fontId="3" fillId="0" borderId="6" xfId="2" applyNumberFormat="1" applyFont="1" applyBorder="1" applyAlignment="1">
      <alignment horizontal="center" vertical="center"/>
    </xf>
    <xf numFmtId="0" fontId="3" fillId="0" borderId="5" xfId="0" applyFont="1" applyBorder="1"/>
    <xf numFmtId="166" fontId="3" fillId="0" borderId="6" xfId="2" applyNumberFormat="1" applyFont="1" applyBorder="1" applyAlignment="1">
      <alignment horizontal="center"/>
    </xf>
    <xf numFmtId="166" fontId="8" fillId="0" borderId="6" xfId="2" applyNumberFormat="1" applyFont="1" applyBorder="1" applyAlignment="1">
      <alignment horizontal="center" vertical="center"/>
    </xf>
    <xf numFmtId="0" fontId="8" fillId="0" borderId="3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164" fontId="18" fillId="0" borderId="0" xfId="1" applyNumberFormat="1" applyFont="1" applyBorder="1" applyAlignment="1">
      <alignment horizontal="right"/>
    </xf>
    <xf numFmtId="164" fontId="4" fillId="0" borderId="27" xfId="1" applyNumberFormat="1" applyFont="1" applyBorder="1" applyAlignment="1">
      <alignment horizontal="center" vertical="center"/>
    </xf>
    <xf numFmtId="164" fontId="4" fillId="0" borderId="20" xfId="1" applyNumberFormat="1" applyFont="1" applyBorder="1" applyAlignment="1">
      <alignment horizontal="center" vertical="center"/>
    </xf>
    <xf numFmtId="164" fontId="4" fillId="0" borderId="30" xfId="1" applyNumberFormat="1" applyFont="1" applyBorder="1" applyAlignment="1">
      <alignment horizontal="center" vertical="center"/>
    </xf>
    <xf numFmtId="164" fontId="4" fillId="0" borderId="28" xfId="1" applyNumberFormat="1" applyFont="1" applyBorder="1" applyAlignment="1">
      <alignment horizontal="center" vertical="center"/>
    </xf>
    <xf numFmtId="164" fontId="4" fillId="0" borderId="22" xfId="1" applyNumberFormat="1" applyFont="1" applyBorder="1" applyAlignment="1">
      <alignment horizontal="center" vertical="center"/>
    </xf>
    <xf numFmtId="164" fontId="4" fillId="0" borderId="31" xfId="1" applyNumberFormat="1" applyFont="1" applyBorder="1" applyAlignment="1">
      <alignment horizontal="center" vertical="center"/>
    </xf>
    <xf numFmtId="164" fontId="4" fillId="0" borderId="24" xfId="1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10" fontId="8" fillId="0" borderId="0" xfId="2" applyNumberFormat="1" applyFont="1" applyBorder="1" applyAlignment="1">
      <alignment horizontal="center" vertical="center"/>
    </xf>
    <xf numFmtId="164" fontId="6" fillId="0" borderId="0" xfId="1" applyNumberFormat="1" applyFont="1" applyBorder="1" applyAlignment="1">
      <alignment vertical="center"/>
    </xf>
    <xf numFmtId="164" fontId="19" fillId="0" borderId="0" xfId="1" applyNumberFormat="1" applyFont="1" applyBorder="1" applyAlignment="1">
      <alignment horizontal="left"/>
    </xf>
    <xf numFmtId="10" fontId="2" fillId="0" borderId="0" xfId="2" applyNumberFormat="1" applyFont="1" applyBorder="1"/>
    <xf numFmtId="170" fontId="2" fillId="0" borderId="0" xfId="2" applyNumberFormat="1" applyFont="1" applyBorder="1"/>
    <xf numFmtId="0" fontId="2" fillId="0" borderId="1" xfId="0" applyFont="1" applyBorder="1"/>
    <xf numFmtId="164" fontId="2" fillId="0" borderId="2" xfId="1" applyNumberFormat="1" applyFont="1" applyBorder="1"/>
    <xf numFmtId="10" fontId="8" fillId="0" borderId="0" xfId="2" applyNumberFormat="1" applyFont="1" applyBorder="1"/>
    <xf numFmtId="166" fontId="8" fillId="0" borderId="0" xfId="2" applyNumberFormat="1" applyFont="1" applyBorder="1" applyAlignment="1">
      <alignment horizontal="center" vertical="center"/>
    </xf>
    <xf numFmtId="166" fontId="3" fillId="0" borderId="0" xfId="2" applyNumberFormat="1" applyFont="1" applyBorder="1" applyAlignment="1">
      <alignment horizontal="center"/>
    </xf>
    <xf numFmtId="166" fontId="3" fillId="0" borderId="0" xfId="2" applyNumberFormat="1" applyFont="1" applyBorder="1" applyAlignment="1">
      <alignment horizontal="center" vertical="center"/>
    </xf>
    <xf numFmtId="10" fontId="8" fillId="2" borderId="19" xfId="2" applyNumberFormat="1" applyFont="1" applyFill="1" applyBorder="1" applyAlignment="1">
      <alignment horizontal="center" vertical="center"/>
    </xf>
    <xf numFmtId="166" fontId="0" fillId="2" borderId="0" xfId="2" applyNumberFormat="1" applyFont="1" applyFill="1" applyBorder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</cellXfs>
  <cellStyles count="5">
    <cellStyle name="Comma" xfId="3" builtinId="3"/>
    <cellStyle name="Currency" xfId="1" builtinId="4"/>
    <cellStyle name="Hyperlink" xfId="4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F0C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red.stlouisfed.org/series/CURRCIR" TargetMode="External"/><Relationship Id="rId2" Type="http://schemas.openxmlformats.org/officeDocument/2006/relationships/hyperlink" Target="https://www.federalreserve.gov/releases/z1/dataviz/dfa/distribute/table/" TargetMode="External"/><Relationship Id="rId1" Type="http://schemas.openxmlformats.org/officeDocument/2006/relationships/hyperlink" Target="https://fred.stlouisfed.org/series/CURRCIR" TargetMode="External"/><Relationship Id="rId4" Type="http://schemas.openxmlformats.org/officeDocument/2006/relationships/hyperlink" Target="https://fred.stlouisfed.org/series/M1S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fred.stlouisfed.org/series/CURRCI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9EC84-DE5E-5545-8286-C648AE382879}">
  <dimension ref="B1:V69"/>
  <sheetViews>
    <sheetView showGridLines="0" tabSelected="1" zoomScale="120" zoomScaleNormal="219" workbookViewId="0">
      <selection activeCell="E6" sqref="E6"/>
    </sheetView>
  </sheetViews>
  <sheetFormatPr baseColWidth="10" defaultRowHeight="16" outlineLevelRow="1" x14ac:dyDescent="0.2"/>
  <cols>
    <col min="2" max="2" width="49.33203125" customWidth="1"/>
    <col min="3" max="3" width="28.1640625" customWidth="1"/>
    <col min="4" max="4" width="17.1640625" bestFit="1" customWidth="1"/>
    <col min="5" max="5" width="15.6640625" customWidth="1"/>
    <col min="6" max="6" width="36.6640625" customWidth="1"/>
    <col min="7" max="7" width="30.5" bestFit="1" customWidth="1"/>
    <col min="8" max="8" width="46.6640625" bestFit="1" customWidth="1"/>
    <col min="9" max="9" width="37.6640625" bestFit="1" customWidth="1"/>
    <col min="10" max="10" width="10.5" bestFit="1" customWidth="1"/>
    <col min="11" max="11" width="8.33203125" customWidth="1"/>
    <col min="12" max="12" width="21" customWidth="1"/>
    <col min="13" max="13" width="7.6640625" customWidth="1"/>
    <col min="14" max="14" width="17.33203125" customWidth="1"/>
    <col min="15" max="15" width="19.5" bestFit="1" customWidth="1"/>
    <col min="16" max="16" width="6.5" bestFit="1" customWidth="1"/>
    <col min="17" max="17" width="42.5" bestFit="1" customWidth="1"/>
    <col min="18" max="18" width="37.33203125" bestFit="1" customWidth="1"/>
    <col min="19" max="19" width="41.1640625" bestFit="1" customWidth="1"/>
    <col min="20" max="20" width="38.33203125" bestFit="1" customWidth="1"/>
    <col min="21" max="22" width="21.6640625" bestFit="1" customWidth="1"/>
  </cols>
  <sheetData>
    <row r="1" spans="2:22" ht="94" customHeight="1" x14ac:dyDescent="0.2"/>
    <row r="2" spans="2:22" ht="17" x14ac:dyDescent="0.2">
      <c r="B2" s="112" t="s">
        <v>68</v>
      </c>
      <c r="N2" s="101" t="s">
        <v>60</v>
      </c>
      <c r="O2" s="102"/>
      <c r="P2" s="102"/>
      <c r="T2" s="37">
        <f>(T4-R4)/R4</f>
        <v>4.8190580105473724E-2</v>
      </c>
      <c r="U2" s="37">
        <f>AVERAGE(S5:T5)</f>
        <v>2.3818898205806783E-2</v>
      </c>
    </row>
    <row r="3" spans="2:22" x14ac:dyDescent="0.2">
      <c r="B3" s="111" t="s">
        <v>17</v>
      </c>
      <c r="C3" s="110">
        <v>23944990000000</v>
      </c>
      <c r="D3" s="110"/>
      <c r="N3" s="98"/>
      <c r="O3" s="15"/>
      <c r="P3" s="15"/>
      <c r="R3" s="30">
        <v>2019</v>
      </c>
      <c r="S3" s="30">
        <f>R3+1</f>
        <v>2020</v>
      </c>
      <c r="T3" s="30">
        <f t="shared" ref="T3:V3" si="0">S3+1</f>
        <v>2021</v>
      </c>
      <c r="U3" s="30">
        <f t="shared" si="0"/>
        <v>2022</v>
      </c>
      <c r="V3" s="30">
        <f t="shared" si="0"/>
        <v>2023</v>
      </c>
    </row>
    <row r="4" spans="2:22" ht="18" x14ac:dyDescent="0.2">
      <c r="B4" s="111" t="s">
        <v>16</v>
      </c>
      <c r="C4" s="110">
        <v>21432440000000</v>
      </c>
      <c r="D4" s="110"/>
      <c r="E4" s="28"/>
      <c r="F4" s="55"/>
      <c r="G4" s="143" t="s">
        <v>83</v>
      </c>
      <c r="H4" s="55"/>
      <c r="I4" s="55"/>
      <c r="J4" s="55"/>
      <c r="K4" s="28"/>
      <c r="L4" s="28"/>
      <c r="M4" s="28"/>
      <c r="N4" s="99"/>
      <c r="O4" s="15"/>
      <c r="P4" s="15"/>
      <c r="Q4" s="20" t="s">
        <v>21</v>
      </c>
      <c r="R4" s="4">
        <f>C7</f>
        <v>109980000000000</v>
      </c>
      <c r="S4" s="4">
        <f>R4+C20</f>
        <v>112180000000000</v>
      </c>
      <c r="T4" s="4">
        <f>S4+C23+C27</f>
        <v>115280000000000</v>
      </c>
      <c r="U4" s="4">
        <f>T4*(1+$U$2)</f>
        <v>118025842585165.41</v>
      </c>
      <c r="V4" s="4">
        <f>U4*(1+$U$2)</f>
        <v>120837088115356.03</v>
      </c>
    </row>
    <row r="5" spans="2:22" x14ac:dyDescent="0.2">
      <c r="E5" s="28"/>
      <c r="F5" s="55"/>
      <c r="G5" s="55"/>
      <c r="H5" s="55"/>
      <c r="I5" s="55"/>
      <c r="J5" s="55"/>
      <c r="K5" s="28"/>
      <c r="L5" s="28"/>
      <c r="M5" s="28"/>
      <c r="N5" s="99"/>
      <c r="O5" s="100">
        <f>C3-C4</f>
        <v>2512550000000</v>
      </c>
      <c r="P5" s="15"/>
      <c r="Q5" s="20" t="s">
        <v>22</v>
      </c>
      <c r="S5" s="22">
        <f>(S4-R4)/R4</f>
        <v>2.0003637024913621E-2</v>
      </c>
      <c r="T5" s="22">
        <f>(T4-S4)/S4</f>
        <v>2.7634159386699945E-2</v>
      </c>
    </row>
    <row r="6" spans="2:22" ht="18" thickBot="1" x14ac:dyDescent="0.25">
      <c r="B6" s="112" t="s">
        <v>69</v>
      </c>
      <c r="F6" s="20"/>
      <c r="G6" s="24"/>
      <c r="H6" s="24"/>
      <c r="I6" s="24"/>
      <c r="J6" s="24"/>
      <c r="Q6" s="20"/>
    </row>
    <row r="7" spans="2:22" ht="19" customHeight="1" x14ac:dyDescent="0.35">
      <c r="B7" s="7" t="s">
        <v>58</v>
      </c>
      <c r="C7" s="107">
        <v>109980000000000</v>
      </c>
      <c r="D7" s="51"/>
      <c r="E7" s="50"/>
      <c r="F7" s="63"/>
      <c r="G7" s="85" t="str">
        <f>B20</f>
        <v>Trump "CARES Act" (March 2020)</v>
      </c>
      <c r="H7" s="86" t="str">
        <f>B23</f>
        <v>Biden Stimulus "America Rescue Plan" (March 2021)</v>
      </c>
      <c r="I7" s="87" t="str">
        <f>B27</f>
        <v>Biden Infrastructure Bill (November 2021)</v>
      </c>
      <c r="J7" s="131" t="s">
        <v>76</v>
      </c>
      <c r="K7" s="132"/>
      <c r="L7" s="50"/>
      <c r="M7" s="50"/>
      <c r="N7" s="50"/>
      <c r="O7" s="17">
        <f>SUM(C15,C21)/C7</f>
        <v>5.2627750500090928E-2</v>
      </c>
      <c r="Q7" s="20"/>
    </row>
    <row r="8" spans="2:22" x14ac:dyDescent="0.2">
      <c r="B8" s="9" t="s">
        <v>59</v>
      </c>
      <c r="C8" s="27">
        <v>142000000000000</v>
      </c>
      <c r="D8" s="51"/>
      <c r="E8" s="50"/>
      <c r="F8" s="61" t="s">
        <v>34</v>
      </c>
      <c r="G8" s="92">
        <f>C20</f>
        <v>2200000000000</v>
      </c>
      <c r="H8" s="93">
        <f>C23</f>
        <v>1900000000000</v>
      </c>
      <c r="I8" s="94">
        <f>C27</f>
        <v>1200000000000</v>
      </c>
      <c r="J8" s="58"/>
      <c r="K8" s="50"/>
      <c r="L8" s="50"/>
      <c r="M8" s="50"/>
      <c r="N8" s="50"/>
      <c r="O8" s="17"/>
      <c r="Q8" s="20"/>
    </row>
    <row r="9" spans="2:22" ht="17" thickBot="1" x14ac:dyDescent="0.25">
      <c r="B9" s="119" t="s">
        <v>53</v>
      </c>
      <c r="C9" s="109">
        <f>(C8-C7)/C7</f>
        <v>0.29114384433533369</v>
      </c>
      <c r="D9" s="137"/>
      <c r="E9" s="50"/>
      <c r="F9" s="121" t="str">
        <f>B7</f>
        <v>Total American Household Wealth (2019)</v>
      </c>
      <c r="G9" s="122">
        <f>$C$7</f>
        <v>109980000000000</v>
      </c>
      <c r="H9" s="123">
        <f t="shared" ref="H9:I9" si="1">$C$7</f>
        <v>109980000000000</v>
      </c>
      <c r="I9" s="124">
        <f t="shared" si="1"/>
        <v>109980000000000</v>
      </c>
      <c r="J9" s="129"/>
      <c r="K9" s="50"/>
      <c r="L9" s="50"/>
      <c r="M9" s="50"/>
      <c r="N9" s="50"/>
      <c r="O9" s="17">
        <f>C12/C7</f>
        <v>0.18548827059465359</v>
      </c>
    </row>
    <row r="10" spans="2:22" ht="17" thickBot="1" x14ac:dyDescent="0.25">
      <c r="B10" s="120" t="s">
        <v>71</v>
      </c>
      <c r="C10" s="118">
        <f>C8/C7</f>
        <v>1.2911438443353338</v>
      </c>
      <c r="D10" s="138"/>
      <c r="E10" s="51"/>
      <c r="F10" s="88" t="s">
        <v>43</v>
      </c>
      <c r="G10" s="81">
        <f>G8/G$9</f>
        <v>2.0003637024913621E-2</v>
      </c>
      <c r="H10" s="89">
        <f t="shared" ref="H10:I10" si="2">H8/H$9</f>
        <v>1.7275868339698127E-2</v>
      </c>
      <c r="I10" s="90">
        <f t="shared" si="2"/>
        <v>1.0911074740861976E-2</v>
      </c>
      <c r="J10" s="130"/>
      <c r="K10" s="51"/>
      <c r="L10" s="51"/>
      <c r="M10" s="51"/>
      <c r="N10" s="51"/>
      <c r="O10" s="19">
        <f>C15/C7</f>
        <v>1.6312056737588652E-2</v>
      </c>
      <c r="Q10" s="24" t="s">
        <v>27</v>
      </c>
    </row>
    <row r="11" spans="2:22" ht="17" thickBot="1" x14ac:dyDescent="0.25">
      <c r="B11" s="7" t="s">
        <v>72</v>
      </c>
      <c r="C11" s="107">
        <v>4007001000000</v>
      </c>
      <c r="D11" s="51"/>
      <c r="E11" s="52"/>
      <c r="F11" s="91" t="s">
        <v>44</v>
      </c>
      <c r="G11" s="64">
        <f>G8/G$9</f>
        <v>2.0003637024913621E-2</v>
      </c>
      <c r="H11" s="65">
        <f>SUM(G8:H8)/H9</f>
        <v>3.7279505364611748E-2</v>
      </c>
      <c r="I11" s="141">
        <f>SUM(G8:I8)/I9</f>
        <v>4.8190580105473724E-2</v>
      </c>
      <c r="J11" s="142">
        <f>I11/2%</f>
        <v>2.409529005273686</v>
      </c>
      <c r="L11" s="35"/>
      <c r="M11" s="35"/>
      <c r="N11" s="35"/>
      <c r="O11" s="17">
        <f>C15/C12</f>
        <v>8.7941176470588231E-2</v>
      </c>
      <c r="Q11" s="46" t="s">
        <v>14</v>
      </c>
      <c r="R11" s="43">
        <v>0.02</v>
      </c>
    </row>
    <row r="12" spans="2:22" ht="17" thickBot="1" x14ac:dyDescent="0.25">
      <c r="B12" s="9" t="s">
        <v>73</v>
      </c>
      <c r="C12" s="27">
        <v>20400000000000</v>
      </c>
      <c r="D12" s="51"/>
      <c r="E12" s="57"/>
      <c r="F12" s="121" t="s">
        <v>38</v>
      </c>
      <c r="G12" s="125">
        <f>$C$11</f>
        <v>4007001000000</v>
      </c>
      <c r="H12" s="126">
        <f>$C$11</f>
        <v>4007001000000</v>
      </c>
      <c r="I12" s="127">
        <f>$C$11</f>
        <v>4007001000000</v>
      </c>
      <c r="J12" s="50"/>
      <c r="L12" s="50"/>
      <c r="M12" s="50"/>
      <c r="N12" s="50"/>
      <c r="O12" s="19">
        <f>C21/C7</f>
        <v>3.6315693762502273E-2</v>
      </c>
      <c r="Q12" s="46" t="s">
        <v>15</v>
      </c>
      <c r="R12" s="43">
        <v>0.01</v>
      </c>
    </row>
    <row r="13" spans="2:22" x14ac:dyDescent="0.2">
      <c r="B13" s="119" t="s">
        <v>53</v>
      </c>
      <c r="C13" s="109">
        <f>(C12-C11)/C11</f>
        <v>4.0910893209160664</v>
      </c>
      <c r="D13" s="137"/>
      <c r="E13" s="53"/>
      <c r="F13" s="88" t="s">
        <v>43</v>
      </c>
      <c r="G13" s="81">
        <f>G8/G$12</f>
        <v>0.54903904441251694</v>
      </c>
      <c r="H13" s="89">
        <f>H8/H$12</f>
        <v>0.47417008381081011</v>
      </c>
      <c r="I13" s="90">
        <f>I8/I$12</f>
        <v>0.29947584240682745</v>
      </c>
      <c r="J13" s="53"/>
      <c r="L13" s="53"/>
      <c r="M13" s="53"/>
      <c r="N13" s="53"/>
      <c r="O13" s="18">
        <f>(C21-C15)/C15</f>
        <v>1.2263099219620959</v>
      </c>
      <c r="Q13" s="20" t="s">
        <v>11</v>
      </c>
      <c r="R13" t="s">
        <v>10</v>
      </c>
      <c r="S13" t="s">
        <v>13</v>
      </c>
      <c r="T13" t="s">
        <v>23</v>
      </c>
    </row>
    <row r="14" spans="2:22" ht="17" thickBot="1" x14ac:dyDescent="0.25">
      <c r="B14" s="120" t="s">
        <v>71</v>
      </c>
      <c r="C14" s="118">
        <f>C12/C11</f>
        <v>5.0910893209160664</v>
      </c>
      <c r="D14" s="138"/>
      <c r="E14" s="133"/>
      <c r="F14" s="91" t="s">
        <v>44</v>
      </c>
      <c r="G14" s="64">
        <f>G8/G$12</f>
        <v>0.54903904441251694</v>
      </c>
      <c r="H14" s="65">
        <f>SUM(G8:H8)/H12</f>
        <v>1.0232091282233271</v>
      </c>
      <c r="I14" s="66">
        <f>SUM(G8:I8)/I12</f>
        <v>1.3226849706301547</v>
      </c>
      <c r="J14" s="35">
        <f>I14/2%</f>
        <v>66.134248531507737</v>
      </c>
      <c r="L14" s="35"/>
      <c r="M14" s="35"/>
      <c r="N14" s="35"/>
      <c r="Q14" s="20" t="s">
        <v>12</v>
      </c>
      <c r="R14" s="25">
        <f>C22</f>
        <v>2.2263099219620961</v>
      </c>
      <c r="S14" s="25">
        <f>C26</f>
        <v>3.2853957636566333</v>
      </c>
      <c r="T14" s="25">
        <f>C30</f>
        <v>3.9542920847268674</v>
      </c>
      <c r="U14" s="41"/>
    </row>
    <row r="15" spans="2:22" ht="17" thickBot="1" x14ac:dyDescent="0.25">
      <c r="B15" s="106" t="s">
        <v>75</v>
      </c>
      <c r="C15" s="27">
        <v>1794000000000</v>
      </c>
      <c r="D15" s="51"/>
      <c r="E15" s="50"/>
      <c r="F15" s="121" t="s">
        <v>35</v>
      </c>
      <c r="G15" s="125">
        <f>$C$15</f>
        <v>1794000000000</v>
      </c>
      <c r="H15" s="126">
        <f>$C$15</f>
        <v>1794000000000</v>
      </c>
      <c r="I15" s="127">
        <f>$C$15</f>
        <v>1794000000000</v>
      </c>
      <c r="J15" s="50"/>
      <c r="L15" s="50"/>
      <c r="M15" s="50"/>
      <c r="N15" s="50"/>
      <c r="O15" s="4">
        <f>C15*C22</f>
        <v>3994000000000.0005</v>
      </c>
      <c r="Q15" s="44">
        <v>50</v>
      </c>
      <c r="R15" s="1">
        <f>R14/Q15</f>
        <v>4.4526198439241924E-2</v>
      </c>
      <c r="S15" s="1">
        <f>S14/$Q$15</f>
        <v>6.5707915273132661E-2</v>
      </c>
      <c r="T15" s="1">
        <f>T14/$Q$15</f>
        <v>7.9085841694537348E-2</v>
      </c>
      <c r="U15" s="41">
        <f t="shared" ref="U15:U19" si="3">AVERAGE(R15:T15)</f>
        <v>6.3106651802303973E-2</v>
      </c>
    </row>
    <row r="16" spans="2:22" x14ac:dyDescent="0.2">
      <c r="B16" s="106" t="s">
        <v>74</v>
      </c>
      <c r="C16" s="27">
        <v>2224000000000</v>
      </c>
      <c r="D16" s="51"/>
      <c r="E16" s="57"/>
      <c r="F16" s="88" t="s">
        <v>43</v>
      </c>
      <c r="G16" s="81">
        <f>G8/G$15</f>
        <v>1.2263099219620959</v>
      </c>
      <c r="H16" s="89">
        <f>H8/H$15</f>
        <v>1.0590858416945375</v>
      </c>
      <c r="I16" s="90">
        <f>I8/I$15</f>
        <v>0.66889632107023411</v>
      </c>
      <c r="J16" s="35"/>
      <c r="L16" s="35"/>
      <c r="M16" s="35"/>
      <c r="N16" s="35"/>
      <c r="Q16" s="45">
        <v>100</v>
      </c>
      <c r="R16" s="1">
        <f>R14/Q16</f>
        <v>2.2263099219620962E-2</v>
      </c>
      <c r="S16" s="1">
        <f>S14/$Q$16</f>
        <v>3.2853957636566331E-2</v>
      </c>
      <c r="T16" s="1">
        <f>T14/$Q$16</f>
        <v>3.9542920847268674E-2</v>
      </c>
      <c r="U16" s="41">
        <f t="shared" si="3"/>
        <v>3.1553325901151986E-2</v>
      </c>
    </row>
    <row r="17" spans="2:21" ht="17" thickBot="1" x14ac:dyDescent="0.25">
      <c r="B17" s="119" t="s">
        <v>53</v>
      </c>
      <c r="C17" s="109">
        <f>(C16-C15)/C15</f>
        <v>0.23968784838350055</v>
      </c>
      <c r="D17" s="137"/>
      <c r="E17" s="57"/>
      <c r="F17" s="91" t="s">
        <v>44</v>
      </c>
      <c r="G17" s="64">
        <f>G8/G$15</f>
        <v>1.2263099219620959</v>
      </c>
      <c r="H17" s="65">
        <f>SUM(G8:H8)/H15</f>
        <v>2.2853957636566333</v>
      </c>
      <c r="I17" s="66">
        <f>SUM(G8:I8)/I15</f>
        <v>2.9542920847268674</v>
      </c>
      <c r="J17" s="35">
        <f>I17/2%</f>
        <v>147.71460423634338</v>
      </c>
      <c r="L17" s="35"/>
      <c r="M17" s="35"/>
      <c r="N17" s="35"/>
      <c r="O17" s="4">
        <f>SUM(C27,C23)</f>
        <v>3100000000000</v>
      </c>
      <c r="R17" s="25">
        <f>AVERAGE(R15:R16)</f>
        <v>3.3394648829431439E-2</v>
      </c>
      <c r="S17" s="25">
        <f>AVERAGE(S15:S16)</f>
        <v>4.9280936454849496E-2</v>
      </c>
      <c r="T17" s="25">
        <f>AVERAGE(T15:T16)</f>
        <v>5.9314381270903008E-2</v>
      </c>
      <c r="U17" s="41">
        <f t="shared" si="3"/>
        <v>4.7329988851727976E-2</v>
      </c>
    </row>
    <row r="18" spans="2:21" ht="17" thickBot="1" x14ac:dyDescent="0.25">
      <c r="B18" s="120" t="s">
        <v>77</v>
      </c>
      <c r="C18" s="118">
        <f>C16/C15</f>
        <v>1.2396878483835005</v>
      </c>
      <c r="D18" s="138"/>
      <c r="E18" s="134"/>
      <c r="F18" s="59"/>
      <c r="G18" s="57"/>
      <c r="H18" s="57"/>
      <c r="I18" s="70"/>
      <c r="J18" s="70"/>
      <c r="K18" s="52"/>
      <c r="L18" s="52"/>
      <c r="M18" s="52"/>
      <c r="N18" s="52"/>
      <c r="O18" s="35">
        <f>O17/C20</f>
        <v>1.4090909090909092</v>
      </c>
      <c r="P18" s="47">
        <f>O17/C15</f>
        <v>1.7279821627647716</v>
      </c>
      <c r="Q18" s="40" t="s">
        <v>24</v>
      </c>
      <c r="R18" s="41">
        <f>R15+$R$11</f>
        <v>6.4526198439241927E-2</v>
      </c>
      <c r="S18" s="41">
        <f t="shared" ref="S18:T18" si="4">S15+$R$11</f>
        <v>8.5707915273132665E-2</v>
      </c>
      <c r="T18" s="41">
        <f t="shared" si="4"/>
        <v>9.9085841694537352E-2</v>
      </c>
      <c r="U18" s="41">
        <f t="shared" si="3"/>
        <v>8.3106651802303991E-2</v>
      </c>
    </row>
    <row r="19" spans="2:21" ht="17" thickBot="1" x14ac:dyDescent="0.25"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35">
        <f>C28/C24</f>
        <v>1.2035968781812012</v>
      </c>
      <c r="Q19" s="40" t="s">
        <v>25</v>
      </c>
      <c r="R19" s="41">
        <f t="shared" ref="R19:T19" si="5">R16+$R$11</f>
        <v>4.2263099219620959E-2</v>
      </c>
      <c r="S19" s="42">
        <v>6.3500000000000001E-2</v>
      </c>
      <c r="T19" s="41">
        <f t="shared" si="5"/>
        <v>5.9542920847268671E-2</v>
      </c>
      <c r="U19" s="41">
        <f t="shared" si="3"/>
        <v>5.5102006688963208E-2</v>
      </c>
    </row>
    <row r="20" spans="2:21" x14ac:dyDescent="0.2">
      <c r="B20" s="135" t="s">
        <v>19</v>
      </c>
      <c r="C20" s="136">
        <v>2200000000000</v>
      </c>
      <c r="D20" s="52"/>
      <c r="E20" s="50"/>
      <c r="F20" s="63"/>
      <c r="G20" s="85" t="s">
        <v>19</v>
      </c>
      <c r="H20" s="86" t="s">
        <v>33</v>
      </c>
      <c r="I20" s="87" t="s">
        <v>32</v>
      </c>
      <c r="J20" s="131" t="s">
        <v>76</v>
      </c>
      <c r="K20" s="105"/>
      <c r="L20" s="50"/>
      <c r="M20" s="50"/>
      <c r="N20" s="50"/>
      <c r="O20" s="35"/>
      <c r="Q20" s="40"/>
      <c r="R20" s="41"/>
      <c r="S20" s="42"/>
      <c r="T20" s="41"/>
      <c r="U20" s="41"/>
    </row>
    <row r="21" spans="2:21" x14ac:dyDescent="0.2">
      <c r="B21" s="9" t="s">
        <v>41</v>
      </c>
      <c r="C21" s="10">
        <f>SUM(C15,C20)</f>
        <v>3994000000000</v>
      </c>
      <c r="D21" s="50"/>
      <c r="E21" s="35"/>
      <c r="F21" s="61" t="s">
        <v>34</v>
      </c>
      <c r="G21" s="92">
        <v>2200000000000</v>
      </c>
      <c r="H21" s="93">
        <v>1900000000000</v>
      </c>
      <c r="I21" s="94">
        <v>1200000000000</v>
      </c>
      <c r="J21" s="58"/>
      <c r="K21" s="35"/>
      <c r="L21" s="35"/>
      <c r="M21" s="35"/>
      <c r="N21" s="35"/>
      <c r="O21" s="36">
        <f>(C28-C15)/C15</f>
        <v>2.9542920847268674</v>
      </c>
      <c r="Q21" s="40" t="s">
        <v>26</v>
      </c>
      <c r="R21" s="41">
        <f t="shared" ref="R21:T21" si="6">R17+$R$11</f>
        <v>5.3394648829431443E-2</v>
      </c>
      <c r="S21" s="41">
        <f t="shared" si="6"/>
        <v>6.9280936454849493E-2</v>
      </c>
      <c r="T21" s="41">
        <f t="shared" si="6"/>
        <v>7.9314381270903012E-2</v>
      </c>
      <c r="U21" s="41">
        <f>AVERAGE(R21:T21)</f>
        <v>6.7329988851727987E-2</v>
      </c>
    </row>
    <row r="22" spans="2:21" ht="17" thickBot="1" x14ac:dyDescent="0.25">
      <c r="B22" s="116" t="s">
        <v>65</v>
      </c>
      <c r="C22" s="117">
        <f>C21/C15</f>
        <v>2.2263099219620961</v>
      </c>
      <c r="D22" s="139"/>
      <c r="E22" s="35"/>
      <c r="F22" s="121" t="s">
        <v>59</v>
      </c>
      <c r="G22" s="122">
        <v>142000000000000</v>
      </c>
      <c r="H22" s="123">
        <v>142000000000000</v>
      </c>
      <c r="I22" s="124">
        <v>142000000000000</v>
      </c>
      <c r="J22" s="129"/>
      <c r="K22" s="35"/>
      <c r="L22" s="35"/>
      <c r="M22" s="35"/>
      <c r="N22" s="35"/>
      <c r="P22" s="15"/>
      <c r="Q22" s="16"/>
      <c r="R22" s="20"/>
      <c r="S22" s="20"/>
    </row>
    <row r="23" spans="2:21" x14ac:dyDescent="0.2">
      <c r="B23" s="11" t="s">
        <v>33</v>
      </c>
      <c r="C23" s="12">
        <v>1900000000000</v>
      </c>
      <c r="D23" s="52"/>
      <c r="E23" s="35"/>
      <c r="F23" s="88" t="s">
        <v>43</v>
      </c>
      <c r="G23" s="81">
        <f>G21/G$22</f>
        <v>1.5492957746478873E-2</v>
      </c>
      <c r="H23" s="89">
        <f>H21/H$22</f>
        <v>1.3380281690140845E-2</v>
      </c>
      <c r="I23" s="90">
        <f>I21/I$22</f>
        <v>8.4507042253521118E-3</v>
      </c>
      <c r="J23" s="130"/>
      <c r="K23" s="35"/>
      <c r="L23" s="35"/>
      <c r="M23" s="35"/>
      <c r="N23" s="35"/>
      <c r="P23" s="15"/>
      <c r="Q23" s="16"/>
      <c r="R23" s="20"/>
      <c r="S23" s="20"/>
    </row>
    <row r="24" spans="2:21" ht="17" thickBot="1" x14ac:dyDescent="0.25">
      <c r="B24" s="9" t="s">
        <v>20</v>
      </c>
      <c r="C24" s="10">
        <f>C23+C21</f>
        <v>5894000000000</v>
      </c>
      <c r="D24" s="50"/>
      <c r="E24" s="35"/>
      <c r="F24" s="91" t="s">
        <v>44</v>
      </c>
      <c r="G24" s="64">
        <f>G21/G$9</f>
        <v>2.0003637024913621E-2</v>
      </c>
      <c r="H24" s="65">
        <f>SUM(G21:H21)/H22</f>
        <v>2.8873239436619718E-2</v>
      </c>
      <c r="I24" s="141">
        <f>SUM(G21:I21)/I22</f>
        <v>3.732394366197183E-2</v>
      </c>
      <c r="J24" s="142">
        <f>I24/2%</f>
        <v>1.8661971830985915</v>
      </c>
      <c r="L24" s="35"/>
      <c r="M24" s="35"/>
      <c r="N24" s="35"/>
      <c r="P24" s="15"/>
      <c r="Q24" s="16"/>
      <c r="R24" s="20"/>
      <c r="S24" s="20"/>
    </row>
    <row r="25" spans="2:21" ht="17" thickBot="1" x14ac:dyDescent="0.25">
      <c r="B25" s="108" t="s">
        <v>65</v>
      </c>
      <c r="C25" s="114">
        <f>C24/C21</f>
        <v>1.4757135703555333</v>
      </c>
      <c r="D25" s="140"/>
      <c r="E25" s="35"/>
      <c r="F25" s="121" t="s">
        <v>67</v>
      </c>
      <c r="G25" s="125">
        <v>20400000000000</v>
      </c>
      <c r="H25" s="126">
        <v>20400000000000</v>
      </c>
      <c r="I25" s="127">
        <v>20400000000000</v>
      </c>
      <c r="J25" s="35"/>
      <c r="L25" s="35"/>
      <c r="M25" s="35"/>
      <c r="N25" s="35"/>
      <c r="P25" s="15"/>
      <c r="Q25" s="16"/>
      <c r="R25" s="20"/>
      <c r="S25" s="20"/>
    </row>
    <row r="26" spans="2:21" ht="17" thickBot="1" x14ac:dyDescent="0.25">
      <c r="B26" s="116" t="s">
        <v>66</v>
      </c>
      <c r="C26" s="115">
        <f>(C24/C15)</f>
        <v>3.2853957636566333</v>
      </c>
      <c r="D26" s="140"/>
      <c r="E26" s="35"/>
      <c r="F26" s="88" t="s">
        <v>43</v>
      </c>
      <c r="G26" s="81">
        <f>G21/G$25</f>
        <v>0.10784313725490197</v>
      </c>
      <c r="H26" s="89">
        <f>H21/H$12</f>
        <v>0.47417008381081011</v>
      </c>
      <c r="I26" s="90">
        <f>I21/I$12</f>
        <v>0.29947584240682745</v>
      </c>
      <c r="J26" s="35"/>
      <c r="L26" s="35"/>
      <c r="M26" s="35"/>
      <c r="N26" s="35"/>
      <c r="P26" s="15"/>
      <c r="Q26" s="16"/>
      <c r="R26" s="20"/>
      <c r="S26" s="20"/>
    </row>
    <row r="27" spans="2:21" ht="17" thickBot="1" x14ac:dyDescent="0.25">
      <c r="B27" s="11" t="s">
        <v>32</v>
      </c>
      <c r="C27" s="12">
        <v>1200000000000</v>
      </c>
      <c r="D27" s="52"/>
      <c r="E27" s="35"/>
      <c r="F27" s="91" t="s">
        <v>44</v>
      </c>
      <c r="G27" s="64">
        <f>G21/G$12</f>
        <v>0.54903904441251694</v>
      </c>
      <c r="H27" s="65">
        <f>SUM(G21:H21)/H25</f>
        <v>0.20098039215686275</v>
      </c>
      <c r="I27" s="66">
        <f>SUM(G21:I21)/I25</f>
        <v>0.25980392156862747</v>
      </c>
      <c r="J27" s="35">
        <f>I27/2%</f>
        <v>12.990196078431373</v>
      </c>
      <c r="L27" s="35"/>
      <c r="M27" s="35"/>
      <c r="N27" s="35"/>
      <c r="P27" s="15"/>
      <c r="Q27" s="16"/>
      <c r="R27" s="20"/>
      <c r="S27" s="20"/>
    </row>
    <row r="28" spans="2:21" ht="17" outlineLevel="1" thickBot="1" x14ac:dyDescent="0.25">
      <c r="B28" s="9" t="s">
        <v>30</v>
      </c>
      <c r="C28" s="10">
        <f>C27+C24</f>
        <v>7094000000000</v>
      </c>
      <c r="D28" s="50"/>
      <c r="E28" s="35"/>
      <c r="F28" s="121" t="s">
        <v>45</v>
      </c>
      <c r="G28" s="125">
        <v>2224000000000</v>
      </c>
      <c r="H28" s="125">
        <v>2224000000000</v>
      </c>
      <c r="I28" s="128">
        <v>2224000000000</v>
      </c>
      <c r="J28" s="35"/>
      <c r="L28" s="35"/>
      <c r="M28" s="35"/>
      <c r="N28" s="35"/>
      <c r="P28" s="15"/>
      <c r="Q28" s="16"/>
      <c r="R28" s="20"/>
      <c r="S28" s="20"/>
    </row>
    <row r="29" spans="2:21" outlineLevel="1" x14ac:dyDescent="0.2">
      <c r="B29" s="108" t="s">
        <v>65</v>
      </c>
      <c r="C29" s="114">
        <f>C28/C24*(12/(11-3))</f>
        <v>1.8053953172718018</v>
      </c>
      <c r="D29" s="140"/>
      <c r="E29" s="35"/>
      <c r="F29" s="88" t="s">
        <v>43</v>
      </c>
      <c r="G29" s="81">
        <f>G21/G$28</f>
        <v>0.98920863309352514</v>
      </c>
      <c r="H29" s="89">
        <f>H21/H$28</f>
        <v>0.85431654676258995</v>
      </c>
      <c r="I29" s="90">
        <f>I21/I$28</f>
        <v>0.53956834532374098</v>
      </c>
      <c r="J29" s="35"/>
      <c r="L29" s="35"/>
      <c r="M29" s="35"/>
      <c r="N29" s="35"/>
      <c r="P29" s="15"/>
      <c r="Q29" s="16"/>
      <c r="R29" s="20"/>
      <c r="S29" s="20"/>
    </row>
    <row r="30" spans="2:21" ht="17" outlineLevel="1" thickBot="1" x14ac:dyDescent="0.25">
      <c r="B30" s="116" t="s">
        <v>66</v>
      </c>
      <c r="C30" s="115">
        <f>(C28/C15)</f>
        <v>3.9542920847268674</v>
      </c>
      <c r="D30" s="140"/>
      <c r="E30" s="35"/>
      <c r="F30" s="91" t="s">
        <v>44</v>
      </c>
      <c r="G30" s="64">
        <f>G21/G$15</f>
        <v>1.2263099219620959</v>
      </c>
      <c r="H30" s="65">
        <f>SUM(G21:H21)/H28</f>
        <v>1.8435251798561152</v>
      </c>
      <c r="I30" s="66">
        <f>SUM(G21:I21)/I28</f>
        <v>2.3830935251798562</v>
      </c>
      <c r="J30" s="35">
        <f>I30/2%</f>
        <v>119.15467625899281</v>
      </c>
      <c r="L30" s="35"/>
      <c r="M30" s="35"/>
      <c r="N30" s="35"/>
      <c r="P30" s="15"/>
      <c r="Q30" s="16"/>
      <c r="R30" s="20"/>
      <c r="S30" s="20"/>
    </row>
    <row r="31" spans="2:21" outlineLevel="1" x14ac:dyDescent="0.2">
      <c r="B31" s="15"/>
      <c r="C31" s="35"/>
      <c r="D31" s="35"/>
      <c r="E31" s="54"/>
      <c r="F31" s="54"/>
      <c r="G31" s="54"/>
      <c r="H31" s="54"/>
      <c r="I31" s="54"/>
      <c r="J31" s="54"/>
      <c r="K31" s="54"/>
      <c r="L31" s="54"/>
      <c r="M31" s="54"/>
      <c r="N31" s="54"/>
      <c r="P31" s="15"/>
      <c r="Q31" s="16"/>
      <c r="R31" s="20"/>
      <c r="S31" s="20"/>
      <c r="T31" s="20"/>
      <c r="U31" s="20"/>
    </row>
    <row r="32" spans="2:21" ht="17" x14ac:dyDescent="0.2">
      <c r="B32" s="113" t="s">
        <v>61</v>
      </c>
      <c r="C32" s="35"/>
      <c r="D32" s="35"/>
      <c r="E32" s="29"/>
      <c r="F32" s="29"/>
      <c r="G32" s="29"/>
      <c r="H32" s="29"/>
      <c r="I32" s="29"/>
      <c r="J32" s="29"/>
      <c r="K32" s="29"/>
      <c r="L32" s="29"/>
      <c r="M32" s="29"/>
      <c r="N32" s="29"/>
      <c r="P32" s="15"/>
      <c r="Q32" s="16"/>
      <c r="R32" s="20"/>
      <c r="S32" s="38"/>
      <c r="T32" s="38">
        <v>2020</v>
      </c>
      <c r="U32" s="38">
        <v>2021</v>
      </c>
    </row>
    <row r="33" spans="2:22" x14ac:dyDescent="0.2">
      <c r="B33" s="103" t="s">
        <v>63</v>
      </c>
      <c r="C33" s="35"/>
      <c r="D33" s="35"/>
      <c r="Q33" s="20" t="s">
        <v>6</v>
      </c>
      <c r="R33" s="21">
        <v>9469000000000</v>
      </c>
      <c r="S33" s="38" t="s">
        <v>4</v>
      </c>
      <c r="T33" s="39">
        <v>7.49</v>
      </c>
      <c r="U33" s="39">
        <f>T33*O37</f>
        <v>16.747303370786518</v>
      </c>
    </row>
    <row r="34" spans="2:22" x14ac:dyDescent="0.2">
      <c r="B34" s="104" t="s">
        <v>62</v>
      </c>
      <c r="E34" s="2"/>
      <c r="F34" s="2"/>
      <c r="G34" s="2"/>
      <c r="H34" s="2"/>
      <c r="I34" s="2"/>
      <c r="J34" s="2"/>
      <c r="K34" s="2"/>
      <c r="L34" s="2"/>
      <c r="M34" s="2"/>
      <c r="N34" s="2"/>
      <c r="R34" s="22">
        <f>R33/C7</f>
        <v>8.6097472267685035E-2</v>
      </c>
    </row>
    <row r="35" spans="2:22" x14ac:dyDescent="0.2">
      <c r="B35" s="104" t="s">
        <v>64</v>
      </c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2:22" x14ac:dyDescent="0.2"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2:22" x14ac:dyDescent="0.2">
      <c r="E37" s="4"/>
      <c r="F37" s="4"/>
      <c r="G37" s="4"/>
      <c r="H37" s="4"/>
      <c r="I37" s="4"/>
      <c r="J37" s="4"/>
      <c r="K37" s="4"/>
      <c r="L37" s="4"/>
      <c r="M37" s="4"/>
      <c r="N37" s="4"/>
      <c r="O37" s="6">
        <f>C67/C64</f>
        <v>2.2359550561797752</v>
      </c>
    </row>
    <row r="43" spans="2:22" x14ac:dyDescent="0.2">
      <c r="S43" s="2"/>
      <c r="T43" s="23"/>
      <c r="U43" s="4"/>
      <c r="V43" s="4"/>
    </row>
    <row r="44" spans="2:22" ht="17" x14ac:dyDescent="0.2">
      <c r="B44" s="113" t="s">
        <v>70</v>
      </c>
      <c r="C44" s="35"/>
      <c r="D44" s="35"/>
      <c r="Q44" s="1">
        <f>(S49-S48)/S48/5</f>
        <v>9.9999999999999881E-3</v>
      </c>
    </row>
    <row r="45" spans="2:22" x14ac:dyDescent="0.2">
      <c r="B45" s="15"/>
      <c r="C45" s="35"/>
      <c r="D45" s="35"/>
    </row>
    <row r="46" spans="2:22" x14ac:dyDescent="0.2">
      <c r="B46" t="s">
        <v>78</v>
      </c>
      <c r="C46" s="2">
        <v>12000000000000</v>
      </c>
      <c r="T46" s="30" t="s">
        <v>5</v>
      </c>
    </row>
    <row r="47" spans="2:22" x14ac:dyDescent="0.2">
      <c r="B47" t="s">
        <v>80</v>
      </c>
      <c r="C47" s="4">
        <f>C46+C11</f>
        <v>16007001000000</v>
      </c>
      <c r="E47" s="2"/>
      <c r="F47" s="2"/>
      <c r="G47" s="2"/>
      <c r="H47" s="2"/>
      <c r="I47" s="2"/>
      <c r="J47" s="2"/>
      <c r="K47" s="2"/>
      <c r="L47" s="2"/>
      <c r="M47" s="2"/>
      <c r="N47" s="2"/>
      <c r="S47" s="2">
        <v>109438.86</v>
      </c>
      <c r="T47" s="4"/>
      <c r="U47" s="4"/>
      <c r="V47" s="4"/>
    </row>
    <row r="48" spans="2:22" x14ac:dyDescent="0.2">
      <c r="B48" t="s">
        <v>79</v>
      </c>
      <c r="C48" s="4">
        <f>C12</f>
        <v>20400000000000</v>
      </c>
      <c r="R48">
        <v>2026</v>
      </c>
      <c r="S48" s="2">
        <v>114910.8</v>
      </c>
      <c r="T48" s="23">
        <f>(S48-S47)/S47/5</f>
        <v>9.9999945174867547E-3</v>
      </c>
      <c r="U48" s="4">
        <f>S48*$O$37</f>
        <v>256935.38426966293</v>
      </c>
      <c r="V48" s="4">
        <f>U48-S48</f>
        <v>142024.58426966291</v>
      </c>
    </row>
    <row r="49" spans="2:22" x14ac:dyDescent="0.2">
      <c r="B49" t="s">
        <v>81</v>
      </c>
      <c r="C49" s="1">
        <f>(C48-C47)/C47</f>
        <v>0.27444235181843246</v>
      </c>
      <c r="R49">
        <v>2031</v>
      </c>
      <c r="S49" s="2">
        <v>120656.34</v>
      </c>
      <c r="T49" s="23">
        <f>(S49-S48)/S48/6</f>
        <v>8.3333333333333228E-3</v>
      </c>
      <c r="U49" s="4">
        <f>S49*$O$37</f>
        <v>269782.15348314604</v>
      </c>
      <c r="V49" s="4">
        <f>U49-S49</f>
        <v>149125.81348314605</v>
      </c>
    </row>
    <row r="50" spans="2:22" x14ac:dyDescent="0.2">
      <c r="B50" t="s">
        <v>82</v>
      </c>
      <c r="C50" s="1">
        <f>(C48-C47)/C46</f>
        <v>0.36608325000000003</v>
      </c>
      <c r="S50" s="2"/>
      <c r="T50" s="23"/>
      <c r="U50" s="4"/>
      <c r="V50" s="4"/>
    </row>
    <row r="51" spans="2:22" x14ac:dyDescent="0.2">
      <c r="C51" s="1"/>
      <c r="S51" s="2"/>
      <c r="T51" s="23"/>
      <c r="U51" s="4"/>
      <c r="V51" s="4"/>
    </row>
    <row r="52" spans="2:22" x14ac:dyDescent="0.2">
      <c r="C52" s="52"/>
    </row>
    <row r="53" spans="2:22" x14ac:dyDescent="0.2">
      <c r="C53" s="57">
        <f>C48-C47</f>
        <v>4392999000000</v>
      </c>
    </row>
    <row r="54" spans="2:22" x14ac:dyDescent="0.2">
      <c r="C54" s="53">
        <f>C53/C57</f>
        <v>10.216276744186047</v>
      </c>
    </row>
    <row r="55" spans="2:22" x14ac:dyDescent="0.2">
      <c r="C55" s="133">
        <f>(C56-C57)/C57</f>
        <v>0.62790697674418605</v>
      </c>
    </row>
    <row r="56" spans="2:22" x14ac:dyDescent="0.2">
      <c r="C56" s="50">
        <v>700000000000</v>
      </c>
      <c r="D56" s="50">
        <v>600000000000</v>
      </c>
    </row>
    <row r="57" spans="2:22" x14ac:dyDescent="0.2">
      <c r="C57" s="57">
        <f>C16-C15</f>
        <v>430000000000</v>
      </c>
    </row>
    <row r="58" spans="2:22" x14ac:dyDescent="0.2">
      <c r="C58" s="57">
        <v>560000000000</v>
      </c>
    </row>
    <row r="59" spans="2:22" x14ac:dyDescent="0.2">
      <c r="C59" s="134">
        <f>(C58-C57)/C57</f>
        <v>0.30232558139534882</v>
      </c>
    </row>
    <row r="60" spans="2:22" ht="17" thickBot="1" x14ac:dyDescent="0.25">
      <c r="C60" s="50"/>
    </row>
    <row r="61" spans="2:22" x14ac:dyDescent="0.2">
      <c r="B61" s="48" t="s">
        <v>28</v>
      </c>
      <c r="C61" s="49">
        <f>C30*((12/(23-3)))</f>
        <v>2.3725752508361202</v>
      </c>
      <c r="D61" s="3"/>
    </row>
    <row r="62" spans="2:22" x14ac:dyDescent="0.2">
      <c r="B62" s="69" t="s">
        <v>39</v>
      </c>
      <c r="C62" s="29"/>
      <c r="D62" s="4"/>
    </row>
    <row r="63" spans="2:22" x14ac:dyDescent="0.2">
      <c r="C63" t="s">
        <v>0</v>
      </c>
    </row>
    <row r="64" spans="2:22" x14ac:dyDescent="0.2">
      <c r="C64" s="68">
        <v>1780000000000</v>
      </c>
      <c r="D64" s="2"/>
    </row>
    <row r="65" spans="2:3" x14ac:dyDescent="0.2">
      <c r="C65" s="3">
        <v>2200000000000</v>
      </c>
    </row>
    <row r="66" spans="2:3" x14ac:dyDescent="0.2">
      <c r="C66" s="3">
        <f>C64*O37</f>
        <v>3980000000000</v>
      </c>
    </row>
    <row r="67" spans="2:3" x14ac:dyDescent="0.2">
      <c r="B67" s="31" t="s">
        <v>18</v>
      </c>
      <c r="C67" s="4">
        <f>SUM(C64:C65)</f>
        <v>3980000000000</v>
      </c>
    </row>
    <row r="69" spans="2:3" x14ac:dyDescent="0.2">
      <c r="B69" t="s">
        <v>1</v>
      </c>
      <c r="C69" s="2">
        <f>C64*Q15</f>
        <v>89000000000000</v>
      </c>
    </row>
  </sheetData>
  <hyperlinks>
    <hyperlink ref="C64" r:id="rId1" display="https://fred.stlouisfed.org/series/CURRCIR" xr:uid="{8B8F1AC1-E018-014B-92C9-DD3FE9947A78}"/>
    <hyperlink ref="B33" r:id="rId2" xr:uid="{23553547-8E8B-1F4D-8F2B-685649960CC1}"/>
    <hyperlink ref="B35" r:id="rId3" display="Money in Circulation" xr:uid="{52E64188-CAC6-E144-A7FE-9C2D4A5D1737}"/>
    <hyperlink ref="B34" r:id="rId4" xr:uid="{8805C002-C259-4941-8851-88548BBB045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855EC-FA0A-5542-A183-B17771731E6C}">
  <dimension ref="D8:N16"/>
  <sheetViews>
    <sheetView workbookViewId="0">
      <selection activeCell="I20" sqref="I20"/>
    </sheetView>
  </sheetViews>
  <sheetFormatPr baseColWidth="10" defaultRowHeight="16" outlineLevelCol="1" x14ac:dyDescent="0.2"/>
  <cols>
    <col min="10" max="10" width="26.1640625" bestFit="1" customWidth="1"/>
    <col min="11" max="12" width="16.5" bestFit="1" customWidth="1"/>
    <col min="13" max="13" width="16.6640625" hidden="1" customWidth="1" outlineLevel="1"/>
    <col min="14" max="14" width="16.6640625" bestFit="1" customWidth="1" collapsed="1"/>
  </cols>
  <sheetData>
    <row r="8" spans="4:14" x14ac:dyDescent="0.2">
      <c r="E8" t="s">
        <v>51</v>
      </c>
    </row>
    <row r="10" spans="4:14" x14ac:dyDescent="0.2">
      <c r="D10" s="24" t="s">
        <v>46</v>
      </c>
      <c r="E10" s="24" t="s">
        <v>49</v>
      </c>
      <c r="F10" s="24" t="s">
        <v>50</v>
      </c>
      <c r="G10" s="24" t="s">
        <v>47</v>
      </c>
      <c r="H10" s="24" t="s">
        <v>48</v>
      </c>
      <c r="I10" s="24" t="s">
        <v>52</v>
      </c>
      <c r="J10" s="24" t="s">
        <v>57</v>
      </c>
      <c r="K10" s="24" t="s">
        <v>54</v>
      </c>
      <c r="L10" s="24" t="s">
        <v>55</v>
      </c>
      <c r="N10" s="24" t="s">
        <v>56</v>
      </c>
    </row>
    <row r="11" spans="4:14" x14ac:dyDescent="0.2">
      <c r="D11" s="96">
        <v>2010</v>
      </c>
      <c r="E11">
        <v>17.739999999999998</v>
      </c>
      <c r="F11">
        <v>24.54</v>
      </c>
      <c r="G11">
        <v>19.739999999999998</v>
      </c>
      <c r="H11">
        <v>0.31</v>
      </c>
      <c r="I11" s="95">
        <f>SUM(E11:H11)</f>
        <v>62.33</v>
      </c>
    </row>
    <row r="12" spans="4:14" x14ac:dyDescent="0.2">
      <c r="D12" s="96">
        <v>2015</v>
      </c>
      <c r="E12">
        <v>25.99</v>
      </c>
      <c r="F12">
        <v>32.29</v>
      </c>
      <c r="G12">
        <v>25.12</v>
      </c>
      <c r="H12">
        <v>0.96</v>
      </c>
      <c r="I12" s="95">
        <f>SUM(E12:H12)</f>
        <v>84.36</v>
      </c>
      <c r="J12" s="1">
        <f t="shared" ref="J12:J13" si="0">(I12-I11)/I11</f>
        <v>0.35344136050056157</v>
      </c>
      <c r="K12" s="1">
        <f>(I12-$I$11)/$I$11</f>
        <v>0.35344136050056157</v>
      </c>
    </row>
    <row r="13" spans="4:14" x14ac:dyDescent="0.2">
      <c r="D13" s="96">
        <v>2019</v>
      </c>
      <c r="E13">
        <v>33.83</v>
      </c>
      <c r="F13">
        <v>42.58</v>
      </c>
      <c r="G13">
        <v>31.61</v>
      </c>
      <c r="H13">
        <v>1.96</v>
      </c>
      <c r="I13" s="95">
        <f>SUM(E13:H13)</f>
        <v>109.97999999999999</v>
      </c>
      <c r="J13" s="1">
        <f t="shared" si="0"/>
        <v>0.30369843527738255</v>
      </c>
      <c r="K13" s="1">
        <f t="shared" ref="K13:K16" si="1">(I13-$I$11)/$I$11</f>
        <v>0.76447938392427395</v>
      </c>
      <c r="L13" s="1">
        <f>(I13-$I$12)/$I$12</f>
        <v>0.30369843527738255</v>
      </c>
    </row>
    <row r="14" spans="4:14" x14ac:dyDescent="0.2">
      <c r="D14" s="96">
        <v>2020</v>
      </c>
      <c r="E14">
        <v>39.17</v>
      </c>
      <c r="F14">
        <v>47.19</v>
      </c>
      <c r="G14">
        <v>35.409999999999997</v>
      </c>
      <c r="H14">
        <v>2.27</v>
      </c>
      <c r="I14" s="95">
        <f>SUM(E14:H14)</f>
        <v>124.03999999999999</v>
      </c>
      <c r="J14" s="1">
        <f>(I14-I13)/I13</f>
        <v>0.12784142571376617</v>
      </c>
      <c r="K14" s="1">
        <f t="shared" si="1"/>
        <v>0.99005294400770083</v>
      </c>
      <c r="L14" s="1">
        <f t="shared" ref="L14:L15" si="2">(I14-$I$12)/$I$12</f>
        <v>0.47036510194404924</v>
      </c>
      <c r="M14" s="25">
        <f>(L14-L13)/L13</f>
        <v>0.54879000780640153</v>
      </c>
      <c r="N14" s="1">
        <f>(I14-$I$13)/$I$13</f>
        <v>0.12784142571376617</v>
      </c>
    </row>
    <row r="15" spans="4:14" x14ac:dyDescent="0.2">
      <c r="D15" s="96">
        <v>2021</v>
      </c>
      <c r="E15">
        <v>45.86</v>
      </c>
      <c r="F15">
        <v>53.34</v>
      </c>
      <c r="G15">
        <v>39.25</v>
      </c>
      <c r="H15">
        <v>3.73</v>
      </c>
      <c r="I15" s="95">
        <f>SUM(E15:H15)</f>
        <v>142.17999999999998</v>
      </c>
      <c r="J15" s="1">
        <f>(I15-I14)/I14</f>
        <v>0.14624314737181543</v>
      </c>
      <c r="K15" s="1">
        <f t="shared" si="1"/>
        <v>1.2810845499759342</v>
      </c>
      <c r="L15" s="1">
        <f t="shared" si="2"/>
        <v>0.68539592223802726</v>
      </c>
      <c r="M15" s="25">
        <f>(L15-L14)/L14</f>
        <v>0.45715725806451585</v>
      </c>
      <c r="N15" s="1">
        <f>(I15-$I$13)/$I$13</f>
        <v>0.2927805055464629</v>
      </c>
    </row>
    <row r="16" spans="4:14" x14ac:dyDescent="0.2">
      <c r="I16" s="97">
        <f>(I15-I13)/I13</f>
        <v>0.2927805055464629</v>
      </c>
      <c r="K16" s="1">
        <f t="shared" si="1"/>
        <v>-0.99530273535141245</v>
      </c>
    </row>
  </sheetData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73EB6-7E42-F44F-84A3-889EBB648AD4}">
  <dimension ref="B1:R42"/>
  <sheetViews>
    <sheetView showGridLines="0" topLeftCell="B1" zoomScale="125" zoomScaleNormal="219" workbookViewId="0">
      <selection activeCell="G16" sqref="G16"/>
    </sheetView>
  </sheetViews>
  <sheetFormatPr baseColWidth="10" defaultRowHeight="16" outlineLevelRow="1" x14ac:dyDescent="0.2"/>
  <cols>
    <col min="2" max="2" width="49" bestFit="1" customWidth="1"/>
    <col min="3" max="3" width="22.83203125" bestFit="1" customWidth="1"/>
    <col min="4" max="4" width="22.83203125" customWidth="1"/>
    <col min="5" max="5" width="36.6640625" customWidth="1"/>
    <col min="6" max="6" width="30.5" bestFit="1" customWidth="1"/>
    <col min="7" max="7" width="46.6640625" bestFit="1" customWidth="1"/>
    <col min="8" max="8" width="37.6640625" bestFit="1" customWidth="1"/>
    <col min="9" max="10" width="22.83203125" customWidth="1"/>
    <col min="11" max="11" width="19.5" bestFit="1" customWidth="1"/>
    <col min="12" max="12" width="6.5" bestFit="1" customWidth="1"/>
    <col min="13" max="13" width="42.5" bestFit="1" customWidth="1"/>
    <col min="14" max="14" width="37.33203125" bestFit="1" customWidth="1"/>
    <col min="15" max="15" width="41.1640625" bestFit="1" customWidth="1"/>
    <col min="16" max="16" width="38.33203125" bestFit="1" customWidth="1"/>
    <col min="17" max="18" width="20.5" bestFit="1" customWidth="1"/>
  </cols>
  <sheetData>
    <row r="1" spans="2:18" ht="122" customHeight="1" x14ac:dyDescent="0.2"/>
    <row r="2" spans="2:18" x14ac:dyDescent="0.2">
      <c r="P2" s="37">
        <f>(P4-N4)/N4</f>
        <v>6.6250000000000003E-2</v>
      </c>
      <c r="Q2" s="37">
        <f>AVERAGE(O5:P5)</f>
        <v>3.260644768856448E-2</v>
      </c>
    </row>
    <row r="3" spans="2:18" x14ac:dyDescent="0.2">
      <c r="N3" s="30">
        <v>2019</v>
      </c>
      <c r="O3" s="30">
        <f>N3+1</f>
        <v>2020</v>
      </c>
      <c r="P3" s="30">
        <f t="shared" ref="P3:R3" si="0">O3+1</f>
        <v>2021</v>
      </c>
      <c r="Q3" s="30">
        <f t="shared" si="0"/>
        <v>2022</v>
      </c>
      <c r="R3" s="30">
        <f t="shared" si="0"/>
        <v>2023</v>
      </c>
    </row>
    <row r="4" spans="2:18" x14ac:dyDescent="0.2">
      <c r="B4" t="s">
        <v>17</v>
      </c>
      <c r="C4" s="28">
        <v>23944990000000</v>
      </c>
      <c r="D4" s="28"/>
      <c r="E4" s="55"/>
      <c r="F4" s="55"/>
      <c r="G4" s="55"/>
      <c r="H4" s="55"/>
      <c r="I4" s="55"/>
      <c r="J4" s="28"/>
      <c r="M4" s="20" t="s">
        <v>21</v>
      </c>
      <c r="N4" s="4">
        <f>C7</f>
        <v>80000000000000</v>
      </c>
      <c r="O4" s="4">
        <f>N4+C11</f>
        <v>82200000000000</v>
      </c>
      <c r="P4" s="4">
        <f>O4+C15+C19</f>
        <v>85300000000000</v>
      </c>
      <c r="Q4" s="4">
        <f>P4*(1+$Q$2)</f>
        <v>88081329987834.562</v>
      </c>
      <c r="R4" s="4">
        <f>Q4*(1+$Q$2)</f>
        <v>90953349266422.078</v>
      </c>
    </row>
    <row r="5" spans="2:18" x14ac:dyDescent="0.2">
      <c r="B5" t="s">
        <v>16</v>
      </c>
      <c r="C5" s="28">
        <v>21432440000000</v>
      </c>
      <c r="D5" s="28"/>
      <c r="E5" s="55"/>
      <c r="F5" s="55"/>
      <c r="G5" s="55"/>
      <c r="H5" s="55"/>
      <c r="I5" s="55"/>
      <c r="J5" s="28"/>
      <c r="K5" s="5">
        <f>C4-C5</f>
        <v>2512550000000</v>
      </c>
      <c r="M5" s="20" t="s">
        <v>22</v>
      </c>
      <c r="O5" s="22">
        <f>(O4-N4)/N4</f>
        <v>2.75E-2</v>
      </c>
      <c r="P5" s="22">
        <f>(P4-O4)/O4</f>
        <v>3.7712895377128956E-2</v>
      </c>
    </row>
    <row r="6" spans="2:18" ht="17" thickBot="1" x14ac:dyDescent="0.25">
      <c r="E6" s="20"/>
      <c r="F6" s="24"/>
      <c r="G6" s="24"/>
      <c r="H6" s="24"/>
      <c r="I6" s="20"/>
      <c r="M6" s="20"/>
    </row>
    <row r="7" spans="2:18" ht="19" customHeight="1" x14ac:dyDescent="0.2">
      <c r="B7" s="7" t="s">
        <v>7</v>
      </c>
      <c r="C7" s="8">
        <v>80000000000000</v>
      </c>
      <c r="D7" s="50"/>
      <c r="E7" s="63"/>
      <c r="F7" s="72" t="str">
        <f>B11</f>
        <v>Trump "CARES Act" (March 2020)</v>
      </c>
      <c r="G7" s="72" t="str">
        <f>B15</f>
        <v>Biden Stimulus "America Rescue Plan" (March 2021)</v>
      </c>
      <c r="H7" s="73" t="str">
        <f>B19</f>
        <v>Biden Infrastructure Bill (November 2021)</v>
      </c>
      <c r="I7" s="73" t="s">
        <v>37</v>
      </c>
      <c r="J7" s="50"/>
      <c r="K7" s="17">
        <f>SUM(C10,C12)/C7</f>
        <v>7.1999999999999995E-2</v>
      </c>
      <c r="M7" s="20"/>
    </row>
    <row r="8" spans="2:18" ht="17" thickBot="1" x14ac:dyDescent="0.25">
      <c r="B8" s="9" t="s">
        <v>29</v>
      </c>
      <c r="C8" s="10">
        <v>3984501000000</v>
      </c>
      <c r="D8" s="50"/>
      <c r="E8" s="61" t="s">
        <v>34</v>
      </c>
      <c r="F8" s="79">
        <f>C11</f>
        <v>2200000000000</v>
      </c>
      <c r="G8" s="79">
        <f>C15</f>
        <v>1900000000000</v>
      </c>
      <c r="H8" s="80">
        <f>C19</f>
        <v>1200000000000</v>
      </c>
      <c r="I8" s="80">
        <f>SUM(F8:H8)</f>
        <v>5300000000000</v>
      </c>
      <c r="J8" s="50"/>
      <c r="K8" s="17"/>
      <c r="M8" s="20"/>
    </row>
    <row r="9" spans="2:18" ht="17" thickBot="1" x14ac:dyDescent="0.25">
      <c r="B9" s="9" t="s">
        <v>8</v>
      </c>
      <c r="C9" s="10">
        <v>17000000000000</v>
      </c>
      <c r="D9" s="50"/>
      <c r="E9" s="62" t="str">
        <f>B7</f>
        <v>Total Global US $s in existence (2019)</v>
      </c>
      <c r="F9" s="82">
        <f>$C$7</f>
        <v>80000000000000</v>
      </c>
      <c r="G9" s="82">
        <f t="shared" ref="G9:H9" si="1">$C$7</f>
        <v>80000000000000</v>
      </c>
      <c r="H9" s="83">
        <f t="shared" si="1"/>
        <v>80000000000000</v>
      </c>
      <c r="I9" s="84"/>
      <c r="J9" s="50"/>
      <c r="K9" s="17">
        <f>C9/C7</f>
        <v>0.21249999999999999</v>
      </c>
    </row>
    <row r="10" spans="2:18" ht="17" thickBot="1" x14ac:dyDescent="0.25">
      <c r="B10" s="26" t="s">
        <v>2</v>
      </c>
      <c r="C10" s="27">
        <f>C35</f>
        <v>1780000000000</v>
      </c>
      <c r="D10" s="51"/>
      <c r="E10" s="67" t="s">
        <v>36</v>
      </c>
      <c r="F10" s="78">
        <f>F8/F$9</f>
        <v>2.75E-2</v>
      </c>
      <c r="G10" s="78">
        <f t="shared" ref="G10:H10" si="2">G8/G$9</f>
        <v>2.375E-2</v>
      </c>
      <c r="H10" s="74">
        <f t="shared" si="2"/>
        <v>1.4999999999999999E-2</v>
      </c>
      <c r="I10" s="74">
        <f>SUM($F$8:$H$8)/H9</f>
        <v>6.6250000000000003E-2</v>
      </c>
      <c r="J10" s="51"/>
      <c r="K10" s="19">
        <f>C10/C7</f>
        <v>2.2249999999999999E-2</v>
      </c>
      <c r="M10" s="24" t="s">
        <v>27</v>
      </c>
    </row>
    <row r="11" spans="2:18" ht="17" thickBot="1" x14ac:dyDescent="0.25">
      <c r="B11" s="11" t="s">
        <v>19</v>
      </c>
      <c r="C11" s="12">
        <v>2200000000000</v>
      </c>
      <c r="D11" s="52"/>
      <c r="E11" s="62" t="s">
        <v>38</v>
      </c>
      <c r="F11" s="56">
        <f>$C$8</f>
        <v>3984501000000</v>
      </c>
      <c r="G11" s="56">
        <f t="shared" ref="G11:H11" si="3">$C$8</f>
        <v>3984501000000</v>
      </c>
      <c r="H11" s="77">
        <f t="shared" si="3"/>
        <v>3984501000000</v>
      </c>
      <c r="I11" s="75"/>
      <c r="J11" s="52"/>
      <c r="K11" s="17">
        <f>C10/C9</f>
        <v>0.10470588235294118</v>
      </c>
      <c r="M11" s="46" t="s">
        <v>14</v>
      </c>
      <c r="N11" s="43">
        <v>0.02</v>
      </c>
    </row>
    <row r="12" spans="2:18" ht="17" thickBot="1" x14ac:dyDescent="0.25">
      <c r="B12" s="9" t="s">
        <v>41</v>
      </c>
      <c r="C12" s="10">
        <f>SUM(C10:C11)</f>
        <v>3980000000000</v>
      </c>
      <c r="D12" s="50"/>
      <c r="E12" s="67" t="s">
        <v>36</v>
      </c>
      <c r="F12" s="78">
        <f>F8/F$11</f>
        <v>0.55213940214847479</v>
      </c>
      <c r="G12" s="78">
        <f>G8/G$11</f>
        <v>0.47684766549186458</v>
      </c>
      <c r="H12" s="74">
        <f>H8/H$11</f>
        <v>0.30116694662644078</v>
      </c>
      <c r="I12" s="74">
        <f>SUM($F$8:$H$8)/H11</f>
        <v>1.3301540142667803</v>
      </c>
      <c r="J12" s="50"/>
      <c r="K12" s="19">
        <f>C12/C7</f>
        <v>4.9750000000000003E-2</v>
      </c>
      <c r="M12" s="46" t="s">
        <v>15</v>
      </c>
      <c r="N12" s="43">
        <v>0.01</v>
      </c>
    </row>
    <row r="13" spans="2:18" ht="17" thickBot="1" x14ac:dyDescent="0.25">
      <c r="B13" s="9" t="s">
        <v>42</v>
      </c>
      <c r="C13" s="10">
        <v>2000000000000</v>
      </c>
      <c r="D13" s="53"/>
      <c r="E13" s="62" t="s">
        <v>35</v>
      </c>
      <c r="F13" s="56">
        <f>$C$10</f>
        <v>1780000000000</v>
      </c>
      <c r="G13" s="56">
        <f t="shared" ref="G13:H13" si="4">$C$10</f>
        <v>1780000000000</v>
      </c>
      <c r="H13" s="77">
        <f t="shared" si="4"/>
        <v>1780000000000</v>
      </c>
      <c r="I13" s="76"/>
      <c r="J13" s="53"/>
      <c r="K13" s="18">
        <f>(C12-C10)/C10</f>
        <v>1.2359550561797752</v>
      </c>
      <c r="M13" s="20" t="s">
        <v>11</v>
      </c>
      <c r="N13" t="s">
        <v>10</v>
      </c>
      <c r="O13" t="s">
        <v>13</v>
      </c>
      <c r="P13" t="s">
        <v>23</v>
      </c>
    </row>
    <row r="14" spans="2:18" ht="17" thickBot="1" x14ac:dyDescent="0.25">
      <c r="B14" s="13" t="s">
        <v>3</v>
      </c>
      <c r="C14" s="32">
        <f>C12/C10</f>
        <v>2.2359550561797752</v>
      </c>
      <c r="D14" s="52"/>
      <c r="E14" s="67" t="s">
        <v>36</v>
      </c>
      <c r="F14" s="78">
        <f>F8/F$13</f>
        <v>1.2359550561797752</v>
      </c>
      <c r="G14" s="78">
        <f t="shared" ref="G14:H14" si="5">G8/G$13</f>
        <v>1.0674157303370786</v>
      </c>
      <c r="H14" s="74">
        <f t="shared" si="5"/>
        <v>0.6741573033707865</v>
      </c>
      <c r="I14" s="74">
        <f>SUM($F$8:$H$8)/H13</f>
        <v>2.9775280898876404</v>
      </c>
      <c r="J14" s="52"/>
      <c r="M14" s="20" t="s">
        <v>12</v>
      </c>
      <c r="N14" s="25">
        <f>C14</f>
        <v>2.2359550561797752</v>
      </c>
      <c r="O14" s="25">
        <f>C18</f>
        <v>3.303370786516854</v>
      </c>
      <c r="P14" s="25">
        <f>C23</f>
        <v>3.9775280898876404</v>
      </c>
      <c r="Q14" s="41"/>
    </row>
    <row r="15" spans="2:18" x14ac:dyDescent="0.2">
      <c r="B15" s="11" t="s">
        <v>33</v>
      </c>
      <c r="C15" s="12">
        <v>1900000000000</v>
      </c>
      <c r="D15" s="50"/>
      <c r="E15" s="59"/>
      <c r="F15" s="57"/>
      <c r="G15" s="57"/>
      <c r="H15" s="70" t="s">
        <v>40</v>
      </c>
      <c r="I15" s="71">
        <f>AVERAGE(I14,I12,I10)</f>
        <v>1.4579773680514736</v>
      </c>
      <c r="J15" s="50"/>
      <c r="K15" s="4">
        <f>C10*C14</f>
        <v>3980000000000</v>
      </c>
      <c r="M15" s="44">
        <v>50</v>
      </c>
      <c r="N15" s="1">
        <f>N14/M15</f>
        <v>4.4719101123595506E-2</v>
      </c>
      <c r="O15" s="1">
        <f>O14/$M$15</f>
        <v>6.6067415730337087E-2</v>
      </c>
      <c r="P15" s="1">
        <f>P14/$M$15</f>
        <v>7.9550561797752814E-2</v>
      </c>
      <c r="Q15" s="41">
        <f t="shared" ref="Q15:Q19" si="6">AVERAGE(N15:P15)</f>
        <v>6.3445692883895136E-2</v>
      </c>
    </row>
    <row r="16" spans="2:18" x14ac:dyDescent="0.2">
      <c r="B16" s="9" t="s">
        <v>20</v>
      </c>
      <c r="C16" s="10">
        <f>C15+C12</f>
        <v>5880000000000</v>
      </c>
      <c r="D16" s="35"/>
      <c r="E16" s="59"/>
      <c r="F16" s="35"/>
      <c r="G16" s="35"/>
      <c r="H16" s="35"/>
      <c r="I16" s="35"/>
      <c r="J16" s="35"/>
      <c r="M16" s="45">
        <v>100</v>
      </c>
      <c r="N16" s="1">
        <f>N14/M16</f>
        <v>2.2359550561797753E-2</v>
      </c>
      <c r="O16" s="1">
        <f>O14/$M$16</f>
        <v>3.3033707865168543E-2</v>
      </c>
      <c r="P16" s="1">
        <f>P14/$M$16</f>
        <v>3.9775280898876407E-2</v>
      </c>
      <c r="Q16" s="41">
        <f t="shared" si="6"/>
        <v>3.1722846441947568E-2</v>
      </c>
    </row>
    <row r="17" spans="2:17" x14ac:dyDescent="0.2">
      <c r="B17" s="14" t="s">
        <v>3</v>
      </c>
      <c r="C17" s="33">
        <f>C16/C12</f>
        <v>1.4773869346733668</v>
      </c>
      <c r="D17" s="35"/>
      <c r="E17" s="60"/>
      <c r="F17" s="35"/>
      <c r="G17" s="35"/>
      <c r="H17" s="35"/>
      <c r="I17" s="35"/>
      <c r="J17" s="35"/>
      <c r="K17" s="4">
        <f>SUM(C19,C15)</f>
        <v>3100000000000</v>
      </c>
      <c r="N17" s="25">
        <f>AVERAGE(N15:N16)</f>
        <v>3.353932584269663E-2</v>
      </c>
      <c r="O17" s="25">
        <f>AVERAGE(O15:O16)</f>
        <v>4.9550561797752815E-2</v>
      </c>
      <c r="P17" s="25">
        <f>AVERAGE(P15:P16)</f>
        <v>5.9662921348314607E-2</v>
      </c>
      <c r="Q17" s="41">
        <f t="shared" si="6"/>
        <v>4.7584269662921348E-2</v>
      </c>
    </row>
    <row r="18" spans="2:17" ht="17" thickBot="1" x14ac:dyDescent="0.25">
      <c r="B18" s="13" t="s">
        <v>9</v>
      </c>
      <c r="C18" s="34">
        <f>(C16/C10)</f>
        <v>3.303370786516854</v>
      </c>
      <c r="D18" s="52"/>
      <c r="E18" s="58"/>
      <c r="F18" s="58"/>
      <c r="G18" s="58"/>
      <c r="H18" s="58"/>
      <c r="I18" s="58"/>
      <c r="J18" s="52"/>
      <c r="K18" s="35">
        <f>K17/C11</f>
        <v>1.4090909090909092</v>
      </c>
      <c r="L18" s="47">
        <f>K17/C10</f>
        <v>1.7415730337078652</v>
      </c>
      <c r="M18" s="40" t="s">
        <v>24</v>
      </c>
      <c r="N18" s="41">
        <f>N15+$N$11</f>
        <v>6.471910112359551E-2</v>
      </c>
      <c r="O18" s="41">
        <f t="shared" ref="O18:P18" si="7">O15+$N$11</f>
        <v>8.6067415730337091E-2</v>
      </c>
      <c r="P18" s="41">
        <f t="shared" si="7"/>
        <v>9.9550561797752818E-2</v>
      </c>
      <c r="Q18" s="41">
        <f t="shared" si="6"/>
        <v>8.344569288389514E-2</v>
      </c>
    </row>
    <row r="19" spans="2:17" x14ac:dyDescent="0.2">
      <c r="B19" s="11" t="s">
        <v>32</v>
      </c>
      <c r="C19" s="12">
        <v>1200000000000</v>
      </c>
      <c r="D19" s="50"/>
      <c r="E19" s="50"/>
      <c r="F19" s="50"/>
      <c r="G19" s="50"/>
      <c r="H19" s="50"/>
      <c r="I19" s="50"/>
      <c r="J19" s="50"/>
      <c r="K19" s="35">
        <f>C20/C16</f>
        <v>1.2040816326530612</v>
      </c>
      <c r="M19" s="40" t="s">
        <v>25</v>
      </c>
      <c r="N19" s="41">
        <f t="shared" ref="N19:P19" si="8">N16+$N$11</f>
        <v>4.2359550561797757E-2</v>
      </c>
      <c r="O19" s="42">
        <v>6.3500000000000001E-2</v>
      </c>
      <c r="P19" s="41">
        <f t="shared" si="8"/>
        <v>5.9775280898876404E-2</v>
      </c>
      <c r="Q19" s="41">
        <f t="shared" si="6"/>
        <v>5.5211610486891383E-2</v>
      </c>
    </row>
    <row r="20" spans="2:17" x14ac:dyDescent="0.2">
      <c r="B20" s="9" t="s">
        <v>30</v>
      </c>
      <c r="C20" s="10">
        <f>C19+C16</f>
        <v>7080000000000</v>
      </c>
      <c r="D20" s="50"/>
      <c r="E20" s="50"/>
      <c r="F20" s="50"/>
      <c r="G20" s="50"/>
      <c r="H20" s="50"/>
      <c r="I20" s="50"/>
      <c r="J20" s="50"/>
      <c r="K20" s="35"/>
      <c r="M20" s="40"/>
      <c r="N20" s="41"/>
      <c r="O20" s="42"/>
      <c r="P20" s="41"/>
      <c r="Q20" s="41"/>
    </row>
    <row r="21" spans="2:17" x14ac:dyDescent="0.2">
      <c r="B21" s="9" t="s">
        <v>31</v>
      </c>
      <c r="C21" s="10">
        <v>2000000000000</v>
      </c>
      <c r="D21" s="35"/>
      <c r="E21" s="35"/>
      <c r="F21" s="35"/>
      <c r="G21" s="35"/>
      <c r="H21" s="35"/>
      <c r="I21" s="35"/>
      <c r="J21" s="35"/>
      <c r="K21" s="36">
        <f>(C20-C10)/C10</f>
        <v>2.9775280898876404</v>
      </c>
      <c r="M21" s="40" t="s">
        <v>26</v>
      </c>
      <c r="N21" s="41">
        <f t="shared" ref="N21:P21" si="9">N17+$N$11</f>
        <v>5.3539325842696633E-2</v>
      </c>
      <c r="O21" s="41">
        <f t="shared" si="9"/>
        <v>6.9550561797752819E-2</v>
      </c>
      <c r="P21" s="41">
        <f t="shared" si="9"/>
        <v>7.9662921348314611E-2</v>
      </c>
      <c r="Q21" s="41">
        <f>AVERAGE(N21:P21)</f>
        <v>6.7584269662921359E-2</v>
      </c>
    </row>
    <row r="22" spans="2:17" x14ac:dyDescent="0.2">
      <c r="B22" s="14" t="s">
        <v>3</v>
      </c>
      <c r="C22" s="33">
        <f>C20/C16*(12/(11-3))</f>
        <v>1.806122448979592</v>
      </c>
      <c r="D22" s="35"/>
      <c r="E22" s="35"/>
      <c r="F22" s="35"/>
      <c r="G22" s="35"/>
      <c r="H22" s="35"/>
      <c r="I22" s="35"/>
      <c r="J22" s="35"/>
      <c r="L22" s="15"/>
      <c r="M22" s="16"/>
      <c r="N22" s="20"/>
      <c r="O22" s="20"/>
    </row>
    <row r="23" spans="2:17" ht="17" thickBot="1" x14ac:dyDescent="0.25">
      <c r="B23" s="13" t="s">
        <v>9</v>
      </c>
      <c r="C23" s="34">
        <f>(C20/C10)</f>
        <v>3.9775280898876404</v>
      </c>
      <c r="D23" s="35"/>
      <c r="E23" s="35"/>
      <c r="F23" s="35"/>
      <c r="G23" s="35"/>
      <c r="H23" s="35"/>
      <c r="I23" s="35"/>
      <c r="J23" s="35"/>
      <c r="L23" s="15"/>
      <c r="M23" s="16"/>
      <c r="N23" s="20"/>
      <c r="O23" s="20"/>
    </row>
    <row r="24" spans="2:17" x14ac:dyDescent="0.2">
      <c r="B24" s="15"/>
      <c r="C24" s="35"/>
      <c r="D24" s="35"/>
      <c r="E24" s="35"/>
      <c r="F24" s="35"/>
      <c r="G24" s="35"/>
      <c r="H24" s="35"/>
      <c r="I24" s="35"/>
      <c r="J24" s="35"/>
      <c r="L24" s="15"/>
      <c r="M24" s="16"/>
      <c r="N24" s="20"/>
      <c r="O24" s="20"/>
    </row>
    <row r="25" spans="2:17" x14ac:dyDescent="0.2">
      <c r="B25" s="15"/>
      <c r="C25" s="35"/>
      <c r="D25" s="35"/>
      <c r="E25" s="35"/>
      <c r="F25" s="35"/>
      <c r="G25" s="35"/>
      <c r="H25" s="35"/>
      <c r="I25" s="35"/>
      <c r="J25" s="35"/>
      <c r="L25" s="15"/>
      <c r="M25" s="16"/>
      <c r="N25" s="20"/>
      <c r="O25" s="20"/>
    </row>
    <row r="26" spans="2:17" x14ac:dyDescent="0.2">
      <c r="B26" s="15"/>
      <c r="C26" s="35"/>
      <c r="D26" s="35"/>
      <c r="E26" s="35"/>
      <c r="F26" s="35"/>
      <c r="G26" s="35"/>
      <c r="H26" s="35"/>
      <c r="I26" s="35"/>
      <c r="J26" s="35"/>
      <c r="L26" s="15"/>
      <c r="M26" s="16"/>
      <c r="N26" s="20"/>
      <c r="O26" s="20"/>
    </row>
    <row r="27" spans="2:17" ht="17" thickBot="1" x14ac:dyDescent="0.25">
      <c r="B27" s="15"/>
      <c r="C27" s="35"/>
      <c r="D27" s="35"/>
      <c r="E27" s="35"/>
      <c r="F27" s="35"/>
      <c r="G27" s="35"/>
      <c r="H27" s="35"/>
      <c r="I27" s="35"/>
      <c r="J27" s="35"/>
      <c r="L27" s="15"/>
      <c r="M27" s="16"/>
      <c r="N27" s="20"/>
      <c r="O27" s="20"/>
    </row>
    <row r="28" spans="2:17" ht="17" hidden="1" outlineLevel="1" thickBot="1" x14ac:dyDescent="0.25">
      <c r="B28" s="15"/>
      <c r="C28" s="35"/>
      <c r="D28" s="35"/>
      <c r="E28" s="35"/>
      <c r="F28" s="35"/>
      <c r="G28" s="35"/>
      <c r="H28" s="35"/>
      <c r="I28" s="35"/>
      <c r="J28" s="35"/>
      <c r="L28" s="15"/>
      <c r="M28" s="16"/>
      <c r="N28" s="20"/>
      <c r="O28" s="20"/>
    </row>
    <row r="29" spans="2:17" ht="17" hidden="1" outlineLevel="1" thickBot="1" x14ac:dyDescent="0.25">
      <c r="B29" s="15"/>
      <c r="C29" s="35"/>
      <c r="D29" s="35"/>
      <c r="E29" s="35"/>
      <c r="F29" s="35"/>
      <c r="G29" s="35"/>
      <c r="H29" s="35"/>
      <c r="I29" s="35"/>
      <c r="J29" s="35"/>
      <c r="L29" s="15"/>
      <c r="M29" s="16"/>
      <c r="N29" s="20"/>
      <c r="O29" s="20"/>
    </row>
    <row r="30" spans="2:17" ht="17" hidden="1" outlineLevel="1" thickBot="1" x14ac:dyDescent="0.25">
      <c r="B30" s="15"/>
      <c r="C30" s="35"/>
      <c r="D30" s="35"/>
      <c r="E30" s="35"/>
      <c r="F30" s="35"/>
      <c r="G30" s="35"/>
      <c r="H30" s="35"/>
      <c r="I30" s="35"/>
      <c r="J30" s="35"/>
      <c r="L30" s="15"/>
      <c r="M30" s="16"/>
      <c r="N30" s="20"/>
      <c r="O30" s="20"/>
    </row>
    <row r="31" spans="2:17" ht="17" hidden="1" outlineLevel="1" thickBot="1" x14ac:dyDescent="0.25">
      <c r="B31" s="15"/>
      <c r="C31" s="35"/>
      <c r="D31" s="54"/>
      <c r="E31" s="54"/>
      <c r="F31" s="54"/>
      <c r="G31" s="54"/>
      <c r="H31" s="54"/>
      <c r="I31" s="54"/>
      <c r="J31" s="54"/>
      <c r="L31" s="15"/>
      <c r="M31" s="16"/>
      <c r="N31" s="20"/>
      <c r="O31" s="20"/>
      <c r="P31" s="20"/>
      <c r="Q31" s="20"/>
    </row>
    <row r="32" spans="2:17" collapsed="1" x14ac:dyDescent="0.2">
      <c r="B32" s="48" t="s">
        <v>28</v>
      </c>
      <c r="C32" s="49">
        <f>C23*((12/(23-3)))</f>
        <v>2.3865168539325841</v>
      </c>
      <c r="D32" s="29"/>
      <c r="E32" s="29"/>
      <c r="F32" s="29"/>
      <c r="G32" s="29"/>
      <c r="H32" s="29"/>
      <c r="I32" s="29"/>
      <c r="J32" s="29"/>
      <c r="L32" s="15"/>
      <c r="M32" s="16"/>
      <c r="N32" s="20"/>
      <c r="O32" s="38"/>
      <c r="P32" s="38">
        <v>2020</v>
      </c>
      <c r="Q32" s="38">
        <v>2021</v>
      </c>
    </row>
    <row r="33" spans="2:18" x14ac:dyDescent="0.2">
      <c r="B33" s="69" t="s">
        <v>39</v>
      </c>
      <c r="C33" s="29"/>
      <c r="M33" s="20" t="s">
        <v>6</v>
      </c>
      <c r="N33" s="21">
        <v>9469000000000</v>
      </c>
      <c r="O33" s="38" t="s">
        <v>4</v>
      </c>
      <c r="P33" s="39">
        <v>7.49</v>
      </c>
      <c r="Q33" s="39">
        <f>P33*K37</f>
        <v>16.747303370786518</v>
      </c>
    </row>
    <row r="34" spans="2:18" x14ac:dyDescent="0.2">
      <c r="C34" t="s">
        <v>0</v>
      </c>
      <c r="D34" s="2"/>
      <c r="E34" s="2"/>
      <c r="F34" s="2"/>
      <c r="G34" s="2"/>
      <c r="H34" s="2"/>
      <c r="I34" s="2"/>
      <c r="J34" s="2"/>
      <c r="N34" s="22">
        <f>N33/C7</f>
        <v>0.1183625</v>
      </c>
    </row>
    <row r="35" spans="2:18" x14ac:dyDescent="0.2">
      <c r="C35" s="68">
        <v>1780000000000</v>
      </c>
      <c r="D35" s="3"/>
      <c r="E35" s="3"/>
      <c r="F35" s="3"/>
      <c r="G35" s="3"/>
      <c r="H35" s="3"/>
      <c r="I35" s="3"/>
      <c r="J35" s="3"/>
    </row>
    <row r="36" spans="2:18" x14ac:dyDescent="0.2">
      <c r="C36" s="3">
        <v>2200000000000</v>
      </c>
      <c r="D36" s="3"/>
      <c r="E36" s="3"/>
      <c r="F36" s="3"/>
      <c r="G36" s="3"/>
      <c r="H36" s="3"/>
      <c r="I36" s="3"/>
      <c r="J36" s="3"/>
    </row>
    <row r="37" spans="2:18" x14ac:dyDescent="0.2">
      <c r="C37" s="3">
        <f>C35*K37</f>
        <v>3980000000000</v>
      </c>
      <c r="D37" s="4"/>
      <c r="E37" s="4"/>
      <c r="F37" s="4"/>
      <c r="G37" s="4"/>
      <c r="H37" s="4"/>
      <c r="I37" s="4"/>
      <c r="J37" s="4"/>
      <c r="K37" s="6">
        <f>C38/C35</f>
        <v>2.2359550561797752</v>
      </c>
    </row>
    <row r="38" spans="2:18" x14ac:dyDescent="0.2">
      <c r="B38" s="31" t="s">
        <v>18</v>
      </c>
      <c r="C38" s="4">
        <f>SUM(C35:C36)</f>
        <v>3980000000000</v>
      </c>
      <c r="P38" s="30" t="s">
        <v>5</v>
      </c>
    </row>
    <row r="39" spans="2:18" x14ac:dyDescent="0.2">
      <c r="D39" s="2"/>
      <c r="E39" s="2"/>
      <c r="F39" s="2"/>
      <c r="G39" s="2"/>
      <c r="H39" s="2"/>
      <c r="I39" s="2"/>
      <c r="J39" s="2"/>
      <c r="O39" s="2">
        <v>109438.86</v>
      </c>
      <c r="P39" s="4"/>
      <c r="Q39" s="4"/>
      <c r="R39" s="4"/>
    </row>
    <row r="40" spans="2:18" x14ac:dyDescent="0.2">
      <c r="B40" t="s">
        <v>1</v>
      </c>
      <c r="C40" s="2">
        <f>C35*M15</f>
        <v>89000000000000</v>
      </c>
      <c r="N40">
        <v>2026</v>
      </c>
      <c r="O40" s="2">
        <v>114910.8</v>
      </c>
      <c r="P40" s="23">
        <f>(O40-O39)/O39/5</f>
        <v>9.9999945174867547E-3</v>
      </c>
      <c r="Q40" s="4">
        <f>O40*$K$37</f>
        <v>256935.38426966293</v>
      </c>
      <c r="R40" s="4">
        <f>Q40-O40</f>
        <v>142024.58426966291</v>
      </c>
    </row>
    <row r="41" spans="2:18" x14ac:dyDescent="0.2">
      <c r="N41">
        <v>2031</v>
      </c>
      <c r="O41" s="2">
        <v>120656.34</v>
      </c>
      <c r="P41" s="23">
        <f>(O41-O40)/O40/6</f>
        <v>8.3333333333333228E-3</v>
      </c>
      <c r="Q41" s="4">
        <f>O41*$K$37</f>
        <v>269782.15348314604</v>
      </c>
      <c r="R41" s="4">
        <f>Q41-O41</f>
        <v>149125.81348314605</v>
      </c>
    </row>
    <row r="42" spans="2:18" x14ac:dyDescent="0.2">
      <c r="M42" s="1">
        <f>(O41-O40)/O40/5</f>
        <v>9.9999999999999881E-3</v>
      </c>
    </row>
  </sheetData>
  <hyperlinks>
    <hyperlink ref="C35" r:id="rId1" display="https://fred.stlouisfed.org/series/CURRCIR" xr:uid="{21BDE02A-3B58-6D4E-9D4C-D17ED2742B52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F55B54E40D9C4BA3878A483CB58113" ma:contentTypeVersion="11" ma:contentTypeDescription="Create a new document." ma:contentTypeScope="" ma:versionID="d343da664e3f5731d93c6f5bb50b8c88">
  <xsd:schema xmlns:xsd="http://www.w3.org/2001/XMLSchema" xmlns:xs="http://www.w3.org/2001/XMLSchema" xmlns:p="http://schemas.microsoft.com/office/2006/metadata/properties" xmlns:ns2="71ab5154-9a20-44b6-905a-114b9fb4ef92" xmlns:ns3="f22aa677-b5a5-4d63-a0c5-ffad23edfb7d" targetNamespace="http://schemas.microsoft.com/office/2006/metadata/properties" ma:root="true" ma:fieldsID="aa591068e9fee7eb802657c3cbbaffa9" ns2:_="" ns3:_="">
    <xsd:import namespace="71ab5154-9a20-44b6-905a-114b9fb4ef92"/>
    <xsd:import namespace="f22aa677-b5a5-4d63-a0c5-ffad23edfb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b5154-9a20-44b6-905a-114b9fb4ef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2aa677-b5a5-4d63-a0c5-ffad23edfb7d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F2BE15-4512-46C7-870B-A6C9F7571C0B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f22aa677-b5a5-4d63-a0c5-ffad23edfb7d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71ab5154-9a20-44b6-905a-114b9fb4ef92"/>
  </ds:schemaRefs>
</ds:datastoreItem>
</file>

<file path=customXml/itemProps2.xml><?xml version="1.0" encoding="utf-8"?>
<ds:datastoreItem xmlns:ds="http://schemas.openxmlformats.org/officeDocument/2006/customXml" ds:itemID="{28BB4739-121C-484B-9739-D3E2E54500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9262CB-2A80-457D-AC2E-5691999104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b5154-9a20-44b6-905a-114b9fb4ef92"/>
    <ds:schemaRef ds:uri="f22aa677-b5a5-4d63-a0c5-ffad23edfb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 (2)</vt:lpstr>
      <vt:lpstr>Wealth Data Over Time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2020-12-03T07:04:36Z</dcterms:created>
  <dcterms:modified xsi:type="dcterms:W3CDTF">2022-05-26T19:38:40Z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0x0101001DF55B54E40D9C4BA3878A483CB58113</vt:lpwstr>
  </property>
</Properties>
</file>